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Чергова 20 сесія від 23.12.2021 р\Бюджет 2022\"/>
    </mc:Choice>
  </mc:AlternateContent>
  <bookViews>
    <workbookView xWindow="0" yWindow="0" windowWidth="28800" windowHeight="12330"/>
  </bookViews>
  <sheets>
    <sheet name="Порівняльна" sheetId="1" r:id="rId1"/>
  </sheets>
  <definedNames>
    <definedName name="_xlnm.Print_Area" localSheetId="0">Порівняльна!$A$1:$I$674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2" i="1" l="1"/>
  <c r="H442" i="1" s="1"/>
  <c r="G443" i="1"/>
  <c r="H443" i="1"/>
  <c r="I443" i="1"/>
  <c r="G444" i="1"/>
  <c r="H444" i="1"/>
  <c r="I444" i="1"/>
  <c r="F445" i="1"/>
  <c r="H445" i="1" s="1"/>
  <c r="G445" i="1"/>
  <c r="G446" i="1"/>
  <c r="H446" i="1"/>
  <c r="I446" i="1"/>
  <c r="G447" i="1"/>
  <c r="H447" i="1"/>
  <c r="I447" i="1"/>
  <c r="F448" i="1"/>
  <c r="I448" i="1" s="1"/>
  <c r="G448" i="1"/>
  <c r="G449" i="1"/>
  <c r="H449" i="1"/>
  <c r="I449" i="1"/>
  <c r="G450" i="1"/>
  <c r="H450" i="1"/>
  <c r="I450" i="1"/>
  <c r="F451" i="1"/>
  <c r="I451" i="1" s="1"/>
  <c r="G451" i="1"/>
  <c r="G452" i="1"/>
  <c r="H452" i="1"/>
  <c r="I452" i="1"/>
  <c r="G453" i="1"/>
  <c r="H453" i="1"/>
  <c r="I453" i="1"/>
  <c r="F454" i="1"/>
  <c r="H454" i="1" s="1"/>
  <c r="G454" i="1"/>
  <c r="G455" i="1"/>
  <c r="H455" i="1"/>
  <c r="I455" i="1"/>
  <c r="G456" i="1"/>
  <c r="H456" i="1"/>
  <c r="I456" i="1"/>
  <c r="F457" i="1"/>
  <c r="H457" i="1" s="1"/>
  <c r="G457" i="1"/>
  <c r="G458" i="1"/>
  <c r="H458" i="1"/>
  <c r="I458" i="1"/>
  <c r="G459" i="1"/>
  <c r="H459" i="1"/>
  <c r="I459" i="1"/>
  <c r="F460" i="1"/>
  <c r="I460" i="1" s="1"/>
  <c r="G460" i="1"/>
  <c r="G461" i="1"/>
  <c r="H461" i="1"/>
  <c r="I461" i="1"/>
  <c r="G462" i="1"/>
  <c r="H462" i="1"/>
  <c r="I462" i="1"/>
  <c r="F463" i="1"/>
  <c r="I463" i="1" s="1"/>
  <c r="G463" i="1"/>
  <c r="H464" i="1"/>
  <c r="I464" i="1"/>
  <c r="H465" i="1"/>
  <c r="I465" i="1"/>
  <c r="F466" i="1"/>
  <c r="I466" i="1" s="1"/>
  <c r="G466" i="1"/>
  <c r="G467" i="1"/>
  <c r="H467" i="1"/>
  <c r="I467" i="1"/>
  <c r="G468" i="1"/>
  <c r="H468" i="1"/>
  <c r="I468" i="1"/>
  <c r="F469" i="1"/>
  <c r="H469" i="1" s="1"/>
  <c r="G469" i="1"/>
  <c r="G470" i="1"/>
  <c r="H470" i="1"/>
  <c r="I470" i="1"/>
  <c r="G471" i="1"/>
  <c r="H471" i="1"/>
  <c r="I471" i="1"/>
  <c r="G472" i="1"/>
  <c r="G473" i="1"/>
  <c r="H473" i="1"/>
  <c r="I473" i="1"/>
  <c r="F474" i="1"/>
  <c r="F472" i="1" s="1"/>
  <c r="G474" i="1"/>
  <c r="F26" i="1"/>
  <c r="I38" i="1"/>
  <c r="H38" i="1"/>
  <c r="F37" i="1"/>
  <c r="I37" i="1" s="1"/>
  <c r="H37" i="1" l="1"/>
  <c r="I457" i="1"/>
  <c r="H451" i="1"/>
  <c r="H448" i="1"/>
  <c r="I474" i="1"/>
  <c r="I442" i="1"/>
  <c r="H474" i="1"/>
  <c r="I445" i="1"/>
  <c r="H463" i="1"/>
  <c r="H466" i="1"/>
  <c r="H460" i="1"/>
  <c r="H472" i="1"/>
  <c r="I472" i="1"/>
  <c r="I469" i="1"/>
  <c r="I454" i="1"/>
  <c r="I59" i="1"/>
  <c r="I665" i="1" l="1"/>
  <c r="H665" i="1"/>
  <c r="F664" i="1"/>
  <c r="I664" i="1" s="1"/>
  <c r="F663" i="1"/>
  <c r="I663" i="1" s="1"/>
  <c r="F662" i="1"/>
  <c r="I662" i="1" s="1"/>
  <c r="I661" i="1"/>
  <c r="H661" i="1"/>
  <c r="F660" i="1"/>
  <c r="I660" i="1" s="1"/>
  <c r="I658" i="1"/>
  <c r="H658" i="1"/>
  <c r="I657" i="1"/>
  <c r="H657" i="1"/>
  <c r="I656" i="1"/>
  <c r="H656" i="1"/>
  <c r="I655" i="1"/>
  <c r="H655" i="1"/>
  <c r="F654" i="1"/>
  <c r="I654" i="1" s="1"/>
  <c r="I652" i="1"/>
  <c r="H652" i="1"/>
  <c r="I651" i="1"/>
  <c r="H651" i="1"/>
  <c r="I650" i="1"/>
  <c r="H650" i="1"/>
  <c r="I649" i="1"/>
  <c r="H649" i="1"/>
  <c r="F648" i="1"/>
  <c r="F647" i="1" s="1"/>
  <c r="I646" i="1"/>
  <c r="H646" i="1"/>
  <c r="F645" i="1"/>
  <c r="I645" i="1" s="1"/>
  <c r="I644" i="1"/>
  <c r="H644" i="1"/>
  <c r="I643" i="1"/>
  <c r="H643" i="1"/>
  <c r="H642" i="1"/>
  <c r="F642" i="1"/>
  <c r="I642" i="1" s="1"/>
  <c r="I641" i="1"/>
  <c r="H641" i="1"/>
  <c r="I640" i="1"/>
  <c r="H640" i="1"/>
  <c r="I639" i="1"/>
  <c r="H639" i="1"/>
  <c r="I638" i="1"/>
  <c r="H638" i="1"/>
  <c r="I637" i="1"/>
  <c r="H637" i="1"/>
  <c r="I636" i="1"/>
  <c r="H636" i="1"/>
  <c r="F635" i="1"/>
  <c r="I635" i="1" s="1"/>
  <c r="I634" i="1"/>
  <c r="H634" i="1"/>
  <c r="F633" i="1"/>
  <c r="H633" i="1" s="1"/>
  <c r="I632" i="1"/>
  <c r="H632" i="1"/>
  <c r="I631" i="1"/>
  <c r="H631" i="1"/>
  <c r="I630" i="1"/>
  <c r="H630" i="1"/>
  <c r="F629" i="1"/>
  <c r="I629" i="1" s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F620" i="1"/>
  <c r="I620" i="1" s="1"/>
  <c r="F619" i="1"/>
  <c r="I617" i="1"/>
  <c r="H617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F607" i="1"/>
  <c r="I607" i="1" s="1"/>
  <c r="F606" i="1"/>
  <c r="I606" i="1" s="1"/>
  <c r="H604" i="1"/>
  <c r="F603" i="1"/>
  <c r="H603" i="1" s="1"/>
  <c r="H602" i="1"/>
  <c r="I601" i="1"/>
  <c r="H601" i="1"/>
  <c r="H600" i="1"/>
  <c r="I599" i="1"/>
  <c r="H599" i="1"/>
  <c r="I598" i="1"/>
  <c r="H598" i="1"/>
  <c r="I597" i="1"/>
  <c r="H597" i="1"/>
  <c r="H596" i="1"/>
  <c r="I595" i="1"/>
  <c r="H595" i="1"/>
  <c r="I594" i="1"/>
  <c r="H594" i="1"/>
  <c r="F593" i="1"/>
  <c r="I593" i="1" s="1"/>
  <c r="F592" i="1"/>
  <c r="H590" i="1"/>
  <c r="F589" i="1"/>
  <c r="H589" i="1" s="1"/>
  <c r="H588" i="1"/>
  <c r="I587" i="1"/>
  <c r="H587" i="1"/>
  <c r="I586" i="1"/>
  <c r="H586" i="1"/>
  <c r="F585" i="1"/>
  <c r="I585" i="1" s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F575" i="1"/>
  <c r="H575" i="1" s="1"/>
  <c r="F574" i="1"/>
  <c r="I574" i="1" s="1"/>
  <c r="I572" i="1"/>
  <c r="H572" i="1"/>
  <c r="I571" i="1"/>
  <c r="H571" i="1"/>
  <c r="I570" i="1"/>
  <c r="H570" i="1"/>
  <c r="I569" i="1"/>
  <c r="H569" i="1"/>
  <c r="I568" i="1"/>
  <c r="H568" i="1"/>
  <c r="I567" i="1"/>
  <c r="H567" i="1"/>
  <c r="F566" i="1"/>
  <c r="I566" i="1" s="1"/>
  <c r="I564" i="1"/>
  <c r="H564" i="1"/>
  <c r="F563" i="1"/>
  <c r="I563" i="1" s="1"/>
  <c r="H562" i="1"/>
  <c r="F561" i="1"/>
  <c r="H561" i="1" s="1"/>
  <c r="H560" i="1"/>
  <c r="I559" i="1"/>
  <c r="H559" i="1"/>
  <c r="I558" i="1"/>
  <c r="H558" i="1"/>
  <c r="I557" i="1"/>
  <c r="H557" i="1"/>
  <c r="I556" i="1"/>
  <c r="H556" i="1"/>
  <c r="F555" i="1"/>
  <c r="I555" i="1" s="1"/>
  <c r="I553" i="1"/>
  <c r="H553" i="1"/>
  <c r="F552" i="1"/>
  <c r="I552" i="1" s="1"/>
  <c r="H551" i="1"/>
  <c r="F550" i="1"/>
  <c r="H550" i="1" s="1"/>
  <c r="I549" i="1"/>
  <c r="H549" i="1"/>
  <c r="F548" i="1"/>
  <c r="H548" i="1" s="1"/>
  <c r="H547" i="1"/>
  <c r="H546" i="1"/>
  <c r="H545" i="1"/>
  <c r="F545" i="1"/>
  <c r="H544" i="1"/>
  <c r="F543" i="1"/>
  <c r="H543" i="1" s="1"/>
  <c r="H542" i="1"/>
  <c r="I541" i="1"/>
  <c r="H541" i="1"/>
  <c r="I540" i="1"/>
  <c r="H540" i="1"/>
  <c r="H539" i="1"/>
  <c r="I538" i="1"/>
  <c r="H538" i="1"/>
  <c r="I537" i="1"/>
  <c r="H537" i="1"/>
  <c r="I536" i="1"/>
  <c r="H536" i="1"/>
  <c r="I535" i="1"/>
  <c r="H535" i="1"/>
  <c r="F534" i="1"/>
  <c r="I534" i="1" s="1"/>
  <c r="H533" i="1"/>
  <c r="F532" i="1"/>
  <c r="H532" i="1" s="1"/>
  <c r="H531" i="1"/>
  <c r="F530" i="1"/>
  <c r="H530" i="1" s="1"/>
  <c r="H529" i="1"/>
  <c r="H528" i="1"/>
  <c r="H527" i="1"/>
  <c r="I526" i="1"/>
  <c r="H526" i="1"/>
  <c r="I525" i="1"/>
  <c r="H525" i="1"/>
  <c r="I524" i="1"/>
  <c r="H524" i="1"/>
  <c r="I523" i="1"/>
  <c r="H523" i="1"/>
  <c r="F522" i="1"/>
  <c r="I522" i="1" s="1"/>
  <c r="I520" i="1"/>
  <c r="H520" i="1"/>
  <c r="I519" i="1"/>
  <c r="H519" i="1"/>
  <c r="I518" i="1"/>
  <c r="H518" i="1"/>
  <c r="I517" i="1"/>
  <c r="H517" i="1"/>
  <c r="F516" i="1"/>
  <c r="I516" i="1" s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F503" i="1"/>
  <c r="I503" i="1" s="1"/>
  <c r="H502" i="1"/>
  <c r="F502" i="1"/>
  <c r="I502" i="1" s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F489" i="1"/>
  <c r="I489" i="1" s="1"/>
  <c r="F488" i="1"/>
  <c r="I488" i="1" s="1"/>
  <c r="H486" i="1"/>
  <c r="F485" i="1"/>
  <c r="I485" i="1" s="1"/>
  <c r="F484" i="1"/>
  <c r="H484" i="1" s="1"/>
  <c r="F483" i="1"/>
  <c r="H483" i="1" s="1"/>
  <c r="F482" i="1"/>
  <c r="I482" i="1" s="1"/>
  <c r="F481" i="1"/>
  <c r="I481" i="1" s="1"/>
  <c r="F480" i="1"/>
  <c r="H480" i="1" s="1"/>
  <c r="I479" i="1"/>
  <c r="F479" i="1"/>
  <c r="H479" i="1" s="1"/>
  <c r="F478" i="1"/>
  <c r="I478" i="1" s="1"/>
  <c r="F440" i="1"/>
  <c r="I440" i="1" s="1"/>
  <c r="G440" i="1"/>
  <c r="G439" i="1"/>
  <c r="I441" i="1"/>
  <c r="H441" i="1"/>
  <c r="F439" i="1"/>
  <c r="H437" i="1"/>
  <c r="I436" i="1"/>
  <c r="H436" i="1"/>
  <c r="I435" i="1"/>
  <c r="H435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H427" i="1"/>
  <c r="I426" i="1"/>
  <c r="H426" i="1"/>
  <c r="F425" i="1"/>
  <c r="H425" i="1" s="1"/>
  <c r="F424" i="1"/>
  <c r="I424" i="1" s="1"/>
  <c r="H422" i="1"/>
  <c r="I421" i="1"/>
  <c r="H421" i="1"/>
  <c r="I420" i="1"/>
  <c r="H420" i="1"/>
  <c r="H419" i="1"/>
  <c r="I418" i="1"/>
  <c r="H418" i="1"/>
  <c r="H417" i="1"/>
  <c r="H416" i="1"/>
  <c r="I415" i="1"/>
  <c r="H415" i="1"/>
  <c r="I414" i="1"/>
  <c r="H414" i="1"/>
  <c r="I413" i="1"/>
  <c r="H413" i="1"/>
  <c r="I412" i="1"/>
  <c r="H412" i="1"/>
  <c r="I411" i="1"/>
  <c r="H411" i="1"/>
  <c r="F410" i="1"/>
  <c r="I410" i="1" s="1"/>
  <c r="F409" i="1"/>
  <c r="I409" i="1" s="1"/>
  <c r="H407" i="1"/>
  <c r="I406" i="1"/>
  <c r="H406" i="1"/>
  <c r="I405" i="1"/>
  <c r="H405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H397" i="1"/>
  <c r="I396" i="1"/>
  <c r="H396" i="1"/>
  <c r="F395" i="1"/>
  <c r="I395" i="1" s="1"/>
  <c r="F394" i="1"/>
  <c r="I394" i="1" s="1"/>
  <c r="H392" i="1"/>
  <c r="I391" i="1"/>
  <c r="H391" i="1"/>
  <c r="I390" i="1"/>
  <c r="H390" i="1"/>
  <c r="H389" i="1"/>
  <c r="I388" i="1"/>
  <c r="H388" i="1"/>
  <c r="I387" i="1"/>
  <c r="H387" i="1"/>
  <c r="H386" i="1"/>
  <c r="I385" i="1"/>
  <c r="H385" i="1"/>
  <c r="I384" i="1"/>
  <c r="H384" i="1"/>
  <c r="I383" i="1"/>
  <c r="H383" i="1"/>
  <c r="H382" i="1"/>
  <c r="I381" i="1"/>
  <c r="H381" i="1"/>
  <c r="H380" i="1"/>
  <c r="H379" i="1"/>
  <c r="F378" i="1"/>
  <c r="H378" i="1" s="1"/>
  <c r="F377" i="1"/>
  <c r="H375" i="1"/>
  <c r="I374" i="1"/>
  <c r="H374" i="1"/>
  <c r="I373" i="1"/>
  <c r="H373" i="1"/>
  <c r="I372" i="1"/>
  <c r="H372" i="1"/>
  <c r="I371" i="1"/>
  <c r="H371" i="1"/>
  <c r="I370" i="1"/>
  <c r="H370" i="1"/>
  <c r="H369" i="1"/>
  <c r="I368" i="1"/>
  <c r="H368" i="1"/>
  <c r="I367" i="1"/>
  <c r="H367" i="1"/>
  <c r="I366" i="1"/>
  <c r="H366" i="1"/>
  <c r="H365" i="1"/>
  <c r="I364" i="1"/>
  <c r="H364" i="1"/>
  <c r="F363" i="1"/>
  <c r="H363" i="1" s="1"/>
  <c r="F362" i="1"/>
  <c r="H362" i="1" s="1"/>
  <c r="H360" i="1"/>
  <c r="I359" i="1"/>
  <c r="H359" i="1"/>
  <c r="I358" i="1"/>
  <c r="H358" i="1"/>
  <c r="H357" i="1"/>
  <c r="I356" i="1"/>
  <c r="H356" i="1"/>
  <c r="I355" i="1"/>
  <c r="H355" i="1"/>
  <c r="H354" i="1"/>
  <c r="I353" i="1"/>
  <c r="H353" i="1"/>
  <c r="I352" i="1"/>
  <c r="H352" i="1"/>
  <c r="I351" i="1"/>
  <c r="H351" i="1"/>
  <c r="H350" i="1"/>
  <c r="I349" i="1"/>
  <c r="H349" i="1"/>
  <c r="F348" i="1"/>
  <c r="F347" i="1"/>
  <c r="H347" i="1" s="1"/>
  <c r="H345" i="1"/>
  <c r="I344" i="1"/>
  <c r="H344" i="1"/>
  <c r="I343" i="1"/>
  <c r="H343" i="1"/>
  <c r="H342" i="1"/>
  <c r="I341" i="1"/>
  <c r="H341" i="1"/>
  <c r="I340" i="1"/>
  <c r="H340" i="1"/>
  <c r="H339" i="1"/>
  <c r="I338" i="1"/>
  <c r="H338" i="1"/>
  <c r="I337" i="1"/>
  <c r="H337" i="1"/>
  <c r="I336" i="1"/>
  <c r="H336" i="1"/>
  <c r="H335" i="1"/>
  <c r="I334" i="1"/>
  <c r="H334" i="1"/>
  <c r="F333" i="1"/>
  <c r="I333" i="1" s="1"/>
  <c r="F332" i="1"/>
  <c r="I332" i="1" s="1"/>
  <c r="H330" i="1"/>
  <c r="I329" i="1"/>
  <c r="H329" i="1"/>
  <c r="I328" i="1"/>
  <c r="H328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H320" i="1"/>
  <c r="I319" i="1"/>
  <c r="H319" i="1"/>
  <c r="F318" i="1"/>
  <c r="I318" i="1" s="1"/>
  <c r="F317" i="1"/>
  <c r="I317" i="1" s="1"/>
  <c r="H315" i="1"/>
  <c r="I314" i="1"/>
  <c r="H314" i="1"/>
  <c r="I313" i="1"/>
  <c r="H313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H305" i="1"/>
  <c r="I304" i="1"/>
  <c r="H304" i="1"/>
  <c r="F303" i="1"/>
  <c r="H303" i="1" s="1"/>
  <c r="F302" i="1"/>
  <c r="I302" i="1" s="1"/>
  <c r="H300" i="1"/>
  <c r="H299" i="1"/>
  <c r="H298" i="1"/>
  <c r="H297" i="1"/>
  <c r="H296" i="1"/>
  <c r="H295" i="1"/>
  <c r="H294" i="1"/>
  <c r="H293" i="1"/>
  <c r="H292" i="1"/>
  <c r="H291" i="1"/>
  <c r="H290" i="1"/>
  <c r="H289" i="1"/>
  <c r="F288" i="1"/>
  <c r="F287" i="1"/>
  <c r="H287" i="1" s="1"/>
  <c r="H285" i="1"/>
  <c r="H284" i="1"/>
  <c r="H283" i="1"/>
  <c r="I282" i="1"/>
  <c r="H282" i="1"/>
  <c r="I281" i="1"/>
  <c r="H281" i="1"/>
  <c r="H280" i="1"/>
  <c r="I279" i="1"/>
  <c r="H279" i="1"/>
  <c r="I278" i="1"/>
  <c r="H278" i="1"/>
  <c r="I277" i="1"/>
  <c r="H277" i="1"/>
  <c r="G277" i="1"/>
  <c r="I276" i="1"/>
  <c r="H276" i="1"/>
  <c r="I275" i="1"/>
  <c r="H275" i="1"/>
  <c r="F274" i="1"/>
  <c r="F273" i="1"/>
  <c r="F271" i="1"/>
  <c r="I271" i="1" s="1"/>
  <c r="H270" i="1"/>
  <c r="F269" i="1"/>
  <c r="I269" i="1" s="1"/>
  <c r="F268" i="1"/>
  <c r="I268" i="1" s="1"/>
  <c r="F267" i="1"/>
  <c r="H267" i="1" s="1"/>
  <c r="F266" i="1"/>
  <c r="I266" i="1" s="1"/>
  <c r="F265" i="1"/>
  <c r="I265" i="1" s="1"/>
  <c r="F264" i="1"/>
  <c r="I264" i="1" s="1"/>
  <c r="F263" i="1"/>
  <c r="I263" i="1" s="1"/>
  <c r="F262" i="1"/>
  <c r="I262" i="1" s="1"/>
  <c r="F261" i="1"/>
  <c r="I261" i="1" s="1"/>
  <c r="F260" i="1"/>
  <c r="I260" i="1" s="1"/>
  <c r="F259" i="1"/>
  <c r="H259" i="1" s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F242" i="1"/>
  <c r="E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F228" i="1"/>
  <c r="I227" i="1"/>
  <c r="F227" i="1"/>
  <c r="H227" i="1" s="1"/>
  <c r="E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F214" i="1"/>
  <c r="H214" i="1" s="1"/>
  <c r="F213" i="1"/>
  <c r="E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F200" i="1"/>
  <c r="E200" i="1"/>
  <c r="F199" i="1"/>
  <c r="E199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F184" i="1"/>
  <c r="I184" i="1" s="1"/>
  <c r="E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F172" i="1"/>
  <c r="I172" i="1" s="1"/>
  <c r="E172" i="1"/>
  <c r="F171" i="1"/>
  <c r="E171" i="1"/>
  <c r="E170" i="1" s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F158" i="1"/>
  <c r="I158" i="1" s="1"/>
  <c r="F157" i="1"/>
  <c r="E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F144" i="1"/>
  <c r="I144" i="1" s="1"/>
  <c r="E144" i="1"/>
  <c r="F143" i="1"/>
  <c r="I143" i="1" s="1"/>
  <c r="E143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F130" i="1"/>
  <c r="H130" i="1" s="1"/>
  <c r="I129" i="1"/>
  <c r="F129" i="1"/>
  <c r="E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F115" i="1"/>
  <c r="I115" i="1" s="1"/>
  <c r="F114" i="1"/>
  <c r="I114" i="1" s="1"/>
  <c r="E113" i="1"/>
  <c r="I112" i="1"/>
  <c r="H112" i="1"/>
  <c r="I111" i="1"/>
  <c r="H111" i="1"/>
  <c r="I110" i="1"/>
  <c r="H110" i="1"/>
  <c r="I109" i="1"/>
  <c r="H109" i="1"/>
  <c r="I108" i="1"/>
  <c r="H108" i="1"/>
  <c r="H107" i="1"/>
  <c r="I106" i="1"/>
  <c r="H106" i="1"/>
  <c r="I105" i="1"/>
  <c r="H105" i="1"/>
  <c r="I104" i="1"/>
  <c r="H104" i="1"/>
  <c r="I103" i="1"/>
  <c r="H103" i="1"/>
  <c r="I102" i="1"/>
  <c r="H102" i="1"/>
  <c r="F101" i="1"/>
  <c r="E101" i="1"/>
  <c r="F100" i="1"/>
  <c r="E100" i="1"/>
  <c r="G99" i="1"/>
  <c r="I98" i="1"/>
  <c r="H98" i="1"/>
  <c r="F97" i="1"/>
  <c r="H97" i="1" s="1"/>
  <c r="F96" i="1"/>
  <c r="I96" i="1" s="1"/>
  <c r="F95" i="1"/>
  <c r="I95" i="1" s="1"/>
  <c r="F94" i="1"/>
  <c r="I94" i="1" s="1"/>
  <c r="F93" i="1"/>
  <c r="H93" i="1" s="1"/>
  <c r="F92" i="1"/>
  <c r="I92" i="1" s="1"/>
  <c r="F91" i="1"/>
  <c r="I91" i="1" s="1"/>
  <c r="F90" i="1"/>
  <c r="I90" i="1" s="1"/>
  <c r="F89" i="1"/>
  <c r="H89" i="1" s="1"/>
  <c r="F88" i="1"/>
  <c r="I88" i="1" s="1"/>
  <c r="F87" i="1"/>
  <c r="I87" i="1" s="1"/>
  <c r="F86" i="1"/>
  <c r="I86" i="1" s="1"/>
  <c r="I82" i="1"/>
  <c r="H82" i="1"/>
  <c r="I81" i="1"/>
  <c r="H81" i="1"/>
  <c r="I80" i="1"/>
  <c r="H80" i="1"/>
  <c r="I79" i="1"/>
  <c r="H79" i="1"/>
  <c r="F78" i="1"/>
  <c r="H76" i="1"/>
  <c r="I75" i="1"/>
  <c r="H75" i="1"/>
  <c r="F74" i="1"/>
  <c r="I74" i="1" s="1"/>
  <c r="H73" i="1"/>
  <c r="F72" i="1"/>
  <c r="I72" i="1" s="1"/>
  <c r="I71" i="1"/>
  <c r="H71" i="1"/>
  <c r="F70" i="1"/>
  <c r="H70" i="1" s="1"/>
  <c r="I69" i="1"/>
  <c r="H69" i="1"/>
  <c r="F68" i="1"/>
  <c r="H68" i="1" s="1"/>
  <c r="I67" i="1"/>
  <c r="H67" i="1"/>
  <c r="H66" i="1"/>
  <c r="F65" i="1"/>
  <c r="H65" i="1" s="1"/>
  <c r="H64" i="1"/>
  <c r="F63" i="1"/>
  <c r="H63" i="1" s="1"/>
  <c r="I62" i="1"/>
  <c r="H62" i="1"/>
  <c r="I61" i="1"/>
  <c r="H61" i="1"/>
  <c r="F60" i="1"/>
  <c r="I60" i="1" s="1"/>
  <c r="H59" i="1"/>
  <c r="F58" i="1"/>
  <c r="E58" i="1"/>
  <c r="F57" i="1"/>
  <c r="F671" i="1" s="1"/>
  <c r="E56" i="1"/>
  <c r="I55" i="1"/>
  <c r="H55" i="1"/>
  <c r="I54" i="1"/>
  <c r="H54" i="1"/>
  <c r="I53" i="1"/>
  <c r="H53" i="1"/>
  <c r="F52" i="1"/>
  <c r="I52" i="1" s="1"/>
  <c r="H51" i="1"/>
  <c r="I50" i="1"/>
  <c r="H50" i="1"/>
  <c r="F49" i="1"/>
  <c r="I49" i="1" s="1"/>
  <c r="I48" i="1"/>
  <c r="H48" i="1"/>
  <c r="I47" i="1"/>
  <c r="H47" i="1"/>
  <c r="I46" i="1"/>
  <c r="H46" i="1"/>
  <c r="I45" i="1"/>
  <c r="H45" i="1"/>
  <c r="F44" i="1"/>
  <c r="I44" i="1" s="1"/>
  <c r="I43" i="1"/>
  <c r="H43" i="1"/>
  <c r="F42" i="1"/>
  <c r="I42" i="1" s="1"/>
  <c r="I41" i="1"/>
  <c r="H41" i="1"/>
  <c r="I40" i="1"/>
  <c r="H40" i="1"/>
  <c r="F39" i="1"/>
  <c r="H39" i="1" s="1"/>
  <c r="H36" i="1"/>
  <c r="F36" i="1"/>
  <c r="I36" i="1" s="1"/>
  <c r="I34" i="1"/>
  <c r="H34" i="1"/>
  <c r="H33" i="1"/>
  <c r="F33" i="1"/>
  <c r="I33" i="1" s="1"/>
  <c r="H32" i="1"/>
  <c r="F31" i="1"/>
  <c r="H31" i="1" s="1"/>
  <c r="I30" i="1"/>
  <c r="H30" i="1"/>
  <c r="I29" i="1"/>
  <c r="F29" i="1"/>
  <c r="H29" i="1" s="1"/>
  <c r="H28" i="1"/>
  <c r="I27" i="1"/>
  <c r="H27" i="1"/>
  <c r="I26" i="1"/>
  <c r="I25" i="1"/>
  <c r="H25" i="1"/>
  <c r="I24" i="1"/>
  <c r="H24" i="1"/>
  <c r="I23" i="1"/>
  <c r="H23" i="1"/>
  <c r="H22" i="1"/>
  <c r="F22" i="1"/>
  <c r="I22" i="1" s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F8" i="1"/>
  <c r="H8" i="1" l="1"/>
  <c r="F170" i="1"/>
  <c r="I170" i="1" s="1"/>
  <c r="F212" i="1"/>
  <c r="F477" i="1"/>
  <c r="I477" i="1" s="1"/>
  <c r="I548" i="1"/>
  <c r="I8" i="1"/>
  <c r="I213" i="1"/>
  <c r="I575" i="1"/>
  <c r="F128" i="1"/>
  <c r="I128" i="1" s="1"/>
  <c r="H129" i="1"/>
  <c r="F618" i="1"/>
  <c r="I100" i="1"/>
  <c r="F226" i="1"/>
  <c r="F573" i="1"/>
  <c r="I573" i="1" s="1"/>
  <c r="I70" i="1"/>
  <c r="I97" i="1"/>
  <c r="H115" i="1"/>
  <c r="G438" i="1"/>
  <c r="H552" i="1"/>
  <c r="F35" i="1"/>
  <c r="I35" i="1" s="1"/>
  <c r="F198" i="1"/>
  <c r="H213" i="1"/>
  <c r="I480" i="1"/>
  <c r="F487" i="1"/>
  <c r="I487" i="1" s="1"/>
  <c r="F591" i="1"/>
  <c r="H591" i="1" s="1"/>
  <c r="H57" i="1"/>
  <c r="I68" i="1"/>
  <c r="H72" i="1"/>
  <c r="E99" i="1"/>
  <c r="E142" i="1"/>
  <c r="F501" i="1"/>
  <c r="I501" i="1" s="1"/>
  <c r="I633" i="1"/>
  <c r="H478" i="1"/>
  <c r="H489" i="1"/>
  <c r="F605" i="1"/>
  <c r="H605" i="1" s="1"/>
  <c r="I39" i="1"/>
  <c r="E198" i="1"/>
  <c r="H198" i="1" s="1"/>
  <c r="F316" i="1"/>
  <c r="H316" i="1" s="1"/>
  <c r="I483" i="1"/>
  <c r="I226" i="1"/>
  <c r="H226" i="1"/>
  <c r="I212" i="1"/>
  <c r="H212" i="1"/>
  <c r="H52" i="1"/>
  <c r="H60" i="1"/>
  <c r="F142" i="1"/>
  <c r="I142" i="1" s="1"/>
  <c r="H172" i="1"/>
  <c r="H228" i="1"/>
  <c r="H534" i="1"/>
  <c r="I605" i="1"/>
  <c r="F99" i="1"/>
  <c r="I130" i="1"/>
  <c r="H200" i="1"/>
  <c r="I228" i="1"/>
  <c r="F554" i="1"/>
  <c r="H554" i="1" s="1"/>
  <c r="F521" i="1"/>
  <c r="I521" i="1" s="1"/>
  <c r="H49" i="1"/>
  <c r="I57" i="1"/>
  <c r="H143" i="1"/>
  <c r="H184" i="1"/>
  <c r="I200" i="1"/>
  <c r="H555" i="1"/>
  <c r="I592" i="1"/>
  <c r="H607" i="1"/>
  <c r="I362" i="1"/>
  <c r="I484" i="1"/>
  <c r="H522" i="1"/>
  <c r="H654" i="1"/>
  <c r="H58" i="1"/>
  <c r="I58" i="1"/>
  <c r="I78" i="1"/>
  <c r="F156" i="1"/>
  <c r="I156" i="1" s="1"/>
  <c r="I242" i="1"/>
  <c r="F659" i="1"/>
  <c r="I659" i="1" s="1"/>
  <c r="F438" i="1"/>
  <c r="I438" i="1" s="1"/>
  <c r="H273" i="1"/>
  <c r="F257" i="1"/>
  <c r="I257" i="1" s="1"/>
  <c r="I259" i="1"/>
  <c r="I274" i="1"/>
  <c r="F258" i="1"/>
  <c r="I258" i="1" s="1"/>
  <c r="F376" i="1"/>
  <c r="H376" i="1" s="1"/>
  <c r="I347" i="1"/>
  <c r="I378" i="1"/>
  <c r="H318" i="1"/>
  <c r="H263" i="1"/>
  <c r="F423" i="1"/>
  <c r="H423" i="1" s="1"/>
  <c r="I267" i="1"/>
  <c r="I363" i="1"/>
  <c r="H261" i="1"/>
  <c r="H269" i="1"/>
  <c r="F301" i="1"/>
  <c r="H424" i="1"/>
  <c r="H377" i="1"/>
  <c r="I303" i="1"/>
  <c r="H262" i="1"/>
  <c r="H266" i="1"/>
  <c r="F361" i="1"/>
  <c r="H302" i="1"/>
  <c r="H395" i="1"/>
  <c r="I425" i="1"/>
  <c r="H333" i="1"/>
  <c r="I273" i="1"/>
  <c r="H91" i="1"/>
  <c r="H96" i="1"/>
  <c r="I93" i="1"/>
  <c r="H88" i="1"/>
  <c r="H92" i="1"/>
  <c r="I89" i="1"/>
  <c r="I618" i="1"/>
  <c r="H618" i="1"/>
  <c r="I198" i="1"/>
  <c r="H647" i="1"/>
  <c r="I647" i="1"/>
  <c r="I99" i="1"/>
  <c r="H99" i="1"/>
  <c r="F565" i="1"/>
  <c r="H86" i="1"/>
  <c r="H94" i="1"/>
  <c r="H101" i="1"/>
  <c r="F113" i="1"/>
  <c r="H157" i="1"/>
  <c r="H264" i="1"/>
  <c r="F331" i="1"/>
  <c r="H348" i="1"/>
  <c r="I377" i="1"/>
  <c r="F393" i="1"/>
  <c r="H410" i="1"/>
  <c r="F476" i="1"/>
  <c r="H481" i="1"/>
  <c r="H516" i="1"/>
  <c r="H573" i="1"/>
  <c r="H619" i="1"/>
  <c r="H664" i="1"/>
  <c r="H44" i="1"/>
  <c r="F84" i="1"/>
  <c r="I101" i="1"/>
  <c r="I157" i="1"/>
  <c r="H171" i="1"/>
  <c r="H199" i="1"/>
  <c r="F346" i="1"/>
  <c r="I348" i="1"/>
  <c r="F408" i="1"/>
  <c r="H439" i="1"/>
  <c r="H563" i="1"/>
  <c r="H566" i="1"/>
  <c r="H592" i="1"/>
  <c r="I619" i="1"/>
  <c r="H645" i="1"/>
  <c r="H648" i="1"/>
  <c r="I171" i="1"/>
  <c r="I199" i="1"/>
  <c r="I439" i="1"/>
  <c r="I648" i="1"/>
  <c r="H659" i="1"/>
  <c r="H662" i="1"/>
  <c r="F56" i="1"/>
  <c r="F7" i="1" s="1"/>
  <c r="H74" i="1"/>
  <c r="H87" i="1"/>
  <c r="H95" i="1"/>
  <c r="H144" i="1"/>
  <c r="H158" i="1"/>
  <c r="H242" i="1"/>
  <c r="H265" i="1"/>
  <c r="H271" i="1"/>
  <c r="H317" i="1"/>
  <c r="H482" i="1"/>
  <c r="H488" i="1"/>
  <c r="H574" i="1"/>
  <c r="H585" i="1"/>
  <c r="H620" i="1"/>
  <c r="H635" i="1"/>
  <c r="F653" i="1"/>
  <c r="H26" i="1"/>
  <c r="H42" i="1"/>
  <c r="H78" i="1"/>
  <c r="F85" i="1"/>
  <c r="H90" i="1"/>
  <c r="H100" i="1"/>
  <c r="H114" i="1"/>
  <c r="H260" i="1"/>
  <c r="H268" i="1"/>
  <c r="H274" i="1"/>
  <c r="H288" i="1"/>
  <c r="H332" i="1"/>
  <c r="H394" i="1"/>
  <c r="H477" i="1"/>
  <c r="H485" i="1"/>
  <c r="H593" i="1"/>
  <c r="H606" i="1"/>
  <c r="F272" i="1"/>
  <c r="F286" i="1"/>
  <c r="H409" i="1"/>
  <c r="H440" i="1"/>
  <c r="H503" i="1"/>
  <c r="H629" i="1"/>
  <c r="H660" i="1"/>
  <c r="H663" i="1"/>
  <c r="H170" i="1" l="1"/>
  <c r="H521" i="1"/>
  <c r="H487" i="1"/>
  <c r="H128" i="1"/>
  <c r="H501" i="1"/>
  <c r="I591" i="1"/>
  <c r="H142" i="1"/>
  <c r="H35" i="1"/>
  <c r="H156" i="1"/>
  <c r="H438" i="1"/>
  <c r="I554" i="1"/>
  <c r="H258" i="1"/>
  <c r="H257" i="1"/>
  <c r="H301" i="1"/>
  <c r="H361" i="1"/>
  <c r="F256" i="1"/>
  <c r="I256" i="1" s="1"/>
  <c r="I7" i="1"/>
  <c r="H7" i="1"/>
  <c r="H331" i="1"/>
  <c r="H565" i="1"/>
  <c r="I565" i="1"/>
  <c r="H408" i="1"/>
  <c r="F83" i="1"/>
  <c r="I84" i="1"/>
  <c r="H84" i="1"/>
  <c r="I56" i="1"/>
  <c r="H56" i="1"/>
  <c r="H346" i="1"/>
  <c r="I653" i="1"/>
  <c r="H653" i="1"/>
  <c r="I113" i="1"/>
  <c r="H113" i="1"/>
  <c r="H393" i="1"/>
  <c r="H286" i="1"/>
  <c r="I85" i="1"/>
  <c r="H85" i="1"/>
  <c r="F475" i="1"/>
  <c r="I476" i="1"/>
  <c r="H476" i="1"/>
  <c r="H272" i="1"/>
  <c r="F77" i="1" l="1"/>
  <c r="F666" i="1" s="1"/>
  <c r="H256" i="1"/>
  <c r="I83" i="1"/>
  <c r="H83" i="1"/>
  <c r="H475" i="1"/>
  <c r="I475" i="1"/>
  <c r="I77" i="1" l="1"/>
  <c r="H77" i="1"/>
</calcChain>
</file>

<file path=xl/sharedStrings.xml><?xml version="1.0" encoding="utf-8"?>
<sst xmlns="http://schemas.openxmlformats.org/spreadsheetml/2006/main" count="1198" uniqueCount="231">
  <si>
    <t xml:space="preserve">Порівняльна таблиця по видатках бюджету Боярської міської територіальної громади </t>
  </si>
  <si>
    <t xml:space="preserve">  </t>
  </si>
  <si>
    <t>грн.</t>
  </si>
  <si>
    <t>Код</t>
  </si>
  <si>
    <t>Найменування</t>
  </si>
  <si>
    <t>План 2021 року</t>
  </si>
  <si>
    <t>Бюджет 2022</t>
  </si>
  <si>
    <t>Приріст росту(грн)</t>
  </si>
  <si>
    <t>Приріст росту(%)</t>
  </si>
  <si>
    <t>02</t>
  </si>
  <si>
    <t>Виконавчий комітет Боярської міської ради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</si>
  <si>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</si>
  <si>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</si>
  <si>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</si>
  <si>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</si>
  <si>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</si>
  <si>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</si>
  <si>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</si>
  <si>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</si>
  <si>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</si>
  <si>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</si>
  <si>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</si>
  <si>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</si>
  <si>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</si>
  <si>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</si>
  <si>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</si>
  <si>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</si>
  <si>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</si>
  <si>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</si>
  <si>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</si>
  <si>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</si>
  <si>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</si>
  <si>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</si>
  <si>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</si>
  <si>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</si>
  <si>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</si>
  <si>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</si>
  <si>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Придбання обладнання і предметів довгострокового користування</t>
  </si>
  <si>
    <t>0210180</t>
  </si>
  <si>
    <t>Інша діяльність у сфері державного управління</t>
  </si>
  <si>
    <t>Програма розвитку туризму</t>
  </si>
  <si>
    <t>Програма відзначення державних та професійних свят, ювелейних дат, вшанування та заохочення за заслуги</t>
  </si>
  <si>
    <t>2610</t>
  </si>
  <si>
    <t xml:space="preserve">Субсидії та поточні трансферти підприємствам (установам, організаціям) 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</si>
  <si>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</si>
  <si>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</si>
  <si>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</si>
  <si>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</si>
  <si>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Програма  розвитку, функціонування та підтримки (фінансової) комунального некомерційного підприємства «Стоматологічна поліклініка Боярської міської ради» на 2021-2025 роки</t>
  </si>
  <si>
    <t>Первинна медична допомога населенню, що надається центрами первинної медичної (медико-санітарної) допомоги</t>
  </si>
  <si>
    <t>Програма "Центр первинної медико-санітарної допомоги Боярської міської  територіальної ради"</t>
  </si>
  <si>
    <r>
      <t xml:space="preserve">Первинна медична допомога населенню, що надається центрами первинної медичної (медико-санітарної) допомоги </t>
    </r>
    <r>
      <rPr>
        <i/>
        <sz val="8"/>
        <color indexed="8"/>
        <rFont val="Arial"/>
        <family val="2"/>
        <charset val="204"/>
      </rPr>
      <t xml:space="preserve">  АЗПСМ</t>
    </r>
  </si>
  <si>
    <t>0212152</t>
  </si>
  <si>
    <t>Інші програми та заходи у сфері охорони здоров’я</t>
  </si>
  <si>
    <r>
      <t xml:space="preserve">Програма розвитку, функціонування та підтримки(фінансоівої) комунального некомерційного підприємства "Лікарня інтенсивного лікування Бярської міської ради" на 2021-2025 роки. </t>
    </r>
    <r>
      <rPr>
        <b/>
        <i/>
        <sz val="8"/>
        <color indexed="8"/>
        <rFont val="Arial"/>
        <family val="2"/>
        <charset val="204"/>
      </rPr>
      <t xml:space="preserve">КП "ЛІЛ" </t>
    </r>
  </si>
  <si>
    <t>0216012</t>
  </si>
  <si>
    <t>Забезпечення діяльності з виробництва, транспортування, постачання теплової енергії</t>
  </si>
  <si>
    <t xml:space="preserve">Капітальні трансферти підприємствам (установам, організаціям) </t>
  </si>
  <si>
    <t>0216013</t>
  </si>
  <si>
    <t xml:space="preserve">Забезпечення діяльності водопровідно-каналізаційного господарства    </t>
  </si>
  <si>
    <t>0216030</t>
  </si>
  <si>
    <t xml:space="preserve">Організація благоустрою населених пунктів    </t>
  </si>
  <si>
    <r>
      <t xml:space="preserve">Оплата електроенергії </t>
    </r>
    <r>
      <rPr>
        <b/>
        <i/>
        <sz val="8"/>
        <color indexed="8"/>
        <rFont val="Arial"/>
        <family val="2"/>
        <charset val="204"/>
      </rPr>
      <t>(виконком)</t>
    </r>
  </si>
  <si>
    <r>
      <t xml:space="preserve"> </t>
    </r>
    <r>
      <rPr>
        <b/>
        <i/>
        <sz val="8"/>
        <color indexed="8"/>
        <rFont val="Arial"/>
        <family val="2"/>
        <charset val="204"/>
      </rPr>
      <t>КП Громада</t>
    </r>
  </si>
  <si>
    <t>КП БГВУЖКГПрограма благоустрою та утримання території  Боярської міської територіальної громади на 2022 рік -22610,0грн,Програма «Безбар’єрна міська територіальна громада" на 2022рік - 600,00грн, Програма «Безпечна Боярська міська територіальна громада» на 2022 рік -1000,00грн, Програми «Захист безпритульних тварин у Боярській міській  територіальній громаді» на 2022 рік - 300,00грн,Програма енергозбереження та енергоефективності Боярської міської територіальної громади на 2022 рік - 2300,00грн,Програма «Бюджет участі на 2022 рік» Боярської міської територіальної громади - 2100,00 грн</t>
  </si>
  <si>
    <t>0216071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</si>
  <si>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</si>
  <si>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r>
      <t xml:space="preserve">Субсидії та поточні трансферти підприємствам (установам, організаціям) (Відшкодування різниці в тарифах </t>
    </r>
    <r>
      <rPr>
        <b/>
        <i/>
        <sz val="8"/>
        <color indexed="8"/>
        <rFont val="Arial"/>
        <family val="2"/>
        <charset val="204"/>
      </rPr>
      <t>КП Боярка водоканал")</t>
    </r>
  </si>
  <si>
    <r>
      <t>Субсидії та поточні трансферти підприємствам (установам, організаціям) (</t>
    </r>
    <r>
      <rPr>
        <i/>
        <sz val="8"/>
        <color indexed="8"/>
        <rFont val="Arial"/>
        <family val="2"/>
        <charset val="204"/>
      </rPr>
      <t xml:space="preserve">Відшкодування різниці в тарифах </t>
    </r>
    <r>
      <rPr>
        <sz val="8"/>
        <color indexed="8"/>
        <rFont val="Arial"/>
        <family val="2"/>
        <charset val="204"/>
      </rPr>
      <t xml:space="preserve"> </t>
    </r>
    <r>
      <rPr>
        <b/>
        <i/>
        <sz val="8"/>
        <color indexed="8"/>
        <rFont val="Arial"/>
        <family val="2"/>
        <charset val="204"/>
      </rPr>
      <t>КП БГВУЖКГ)</t>
    </r>
  </si>
  <si>
    <t>0217130</t>
  </si>
  <si>
    <t>Здійснення  заходів із землеустрою</t>
  </si>
  <si>
    <t>Дослідження і розробки, окремі заходи розвитку по реалізації державних (регіональних) програм</t>
  </si>
  <si>
    <t>0217310</t>
  </si>
  <si>
    <t>Будівництво об'єктів житлово-комунального господарства</t>
  </si>
  <si>
    <t>3210</t>
  </si>
  <si>
    <t>Програма участі в організації та фінансуванні капітальних ремонтів житлових багатоповерхових будинків - 2045,00 грн,Програми розвитку ліфтового  господарства Боярської міської територіальної громади на 2022 рік - 3000,00грн,</t>
  </si>
  <si>
    <t>0217350</t>
  </si>
  <si>
    <t>Розроблення схем планування та забудови територій (містобудівної документації)</t>
  </si>
  <si>
    <t>2281</t>
  </si>
  <si>
    <t>0217413</t>
  </si>
  <si>
    <t>Інші заходи у сфері автотранспорту</t>
  </si>
  <si>
    <t>Програма транспортного забезпечення пасажирських перевезень на 2021-2025 роки</t>
  </si>
  <si>
    <r>
      <t xml:space="preserve">Капітальні трансферти підприємствам (установам, організаціям) </t>
    </r>
    <r>
      <rPr>
        <b/>
        <i/>
        <sz val="8"/>
        <color indexed="8"/>
        <rFont val="Arial"/>
        <family val="2"/>
        <charset val="204"/>
      </rPr>
      <t>КП Транспортне (лізінг)</t>
    </r>
  </si>
  <si>
    <t>Сприяння розвитку малого та середнього підприємництва</t>
  </si>
  <si>
    <t>Програма розвитку малого та середнього підприємства</t>
  </si>
  <si>
    <t>0217670</t>
  </si>
  <si>
    <t>Внески до статутного капіталу суб’єктів господарювання</t>
  </si>
  <si>
    <r>
      <t xml:space="preserve"> </t>
    </r>
    <r>
      <rPr>
        <b/>
        <sz val="8"/>
        <color indexed="8"/>
        <rFont val="Arial"/>
        <family val="2"/>
        <charset val="204"/>
      </rPr>
      <t xml:space="preserve">КП Боярка водоканал" </t>
    </r>
    <r>
      <rPr>
        <i/>
        <sz val="8"/>
        <color indexed="8"/>
        <rFont val="Arial"/>
        <family val="2"/>
        <charset val="204"/>
      </rPr>
      <t>Реконструкція КНС в с.Тарасівка-500,00грн, Придбання свердловинних насосів -221,00грн, кап. ремонт напірного колектору від КНС-9 (заводська) до вул. Білогородська Ø300 мм - 1631,4грн, Проєкт реконструкції КНС с.Забір'є та напірного колектору -1205,00грн</t>
    </r>
  </si>
  <si>
    <r>
      <rPr>
        <i/>
        <sz val="8"/>
        <color indexed="8"/>
        <rFont val="Arial"/>
        <family val="2"/>
        <charset val="204"/>
      </rPr>
      <t xml:space="preserve">Технічне переоснащення системи водопостачання (обладнання будівель вузлами комерційного обліку холодної води) в житлових багатоквартирних будинках на території Боярської міської Територіальної громади </t>
    </r>
    <r>
      <rPr>
        <b/>
        <i/>
        <sz val="8"/>
        <color indexed="10"/>
        <rFont val="Arial"/>
        <family val="2"/>
        <charset val="204"/>
      </rPr>
      <t>Програма енергозбереження КП Боярка водоканал"</t>
    </r>
  </si>
  <si>
    <t>0217680</t>
  </si>
  <si>
    <t>Членські внески до асоціацій органів місцевого самоврядування</t>
  </si>
  <si>
    <t>Сплата членських внесків в Асоціації органів місцевого самоврядування</t>
  </si>
  <si>
    <t>0218220</t>
  </si>
  <si>
    <t>Заходи та роботи з мобілізаційної підготовки місцевого значення</t>
  </si>
  <si>
    <t>Проведення призову молоді, підтримки заходів мобілізаційної підготовки та територіальної оборони на території Боярської територіальної громади</t>
  </si>
  <si>
    <t>0218230</t>
  </si>
  <si>
    <t>Інші заходи громадського порядку та безпеки</t>
  </si>
  <si>
    <t>Комплексна програма профілактики правопорушеннь на території Боярської міської територіальної громади</t>
  </si>
  <si>
    <t>0218330</t>
  </si>
  <si>
    <r>
      <t>Інша діяльність у сфері екології та охорони природних ресурсів</t>
    </r>
    <r>
      <rPr>
        <b/>
        <i/>
        <sz val="8"/>
        <color indexed="8"/>
        <rFont val="Arial"/>
        <family val="2"/>
        <charset val="204"/>
      </rPr>
      <t xml:space="preserve">                                Програма охорони від навколишнього середовища(580,0 тис.грн) Смітєзвалище -3000,00 тис.грн.</t>
    </r>
  </si>
  <si>
    <t xml:space="preserve">Програма ліквідації несанкціонованих сміттєзвалищ та поводження з побутовими відходами - 2000,00грн, Програма охорони від навколишнього середовища(580,0 тис.грн) </t>
  </si>
  <si>
    <t>06</t>
  </si>
  <si>
    <t>Управління освіти і науки Боярської міської ради</t>
  </si>
  <si>
    <t>0610160</t>
  </si>
  <si>
    <t>0611010</t>
  </si>
  <si>
    <t>Надання дошкільної освіти</t>
  </si>
  <si>
    <t>2220</t>
  </si>
  <si>
    <t>Медикаменти та перев'язувальні матеріали</t>
  </si>
  <si>
    <t>2230</t>
  </si>
  <si>
    <t>Продукти харчування</t>
  </si>
  <si>
    <t>ЗДО (ясла-садок) комбінованого типу "Іскорка"</t>
  </si>
  <si>
    <t>КЗ заклад дошкільної освіти (ясла-садок) "Даринка"</t>
  </si>
  <si>
    <t>ЗДО (дитчий садок) " Лісова казка"</t>
  </si>
  <si>
    <t xml:space="preserve">ЗДО (ясла-садок) комбінованого типу "Спадкоємець" </t>
  </si>
  <si>
    <t>Заклад дошкільної освіти "Казкова рибка" Боярської міської ради</t>
  </si>
  <si>
    <t>ЗДО-ЦРД "Джерельце"</t>
  </si>
  <si>
    <t xml:space="preserve">Новосілський ЗДО "Берізка" </t>
  </si>
  <si>
    <t xml:space="preserve">ЗДО  "Берізка" </t>
  </si>
  <si>
    <t xml:space="preserve">Тарасівський ЗДО  "Віночок" </t>
  </si>
  <si>
    <t xml:space="preserve">ЗДО (ясла-садок) комбінованого типу "Казка" </t>
  </si>
  <si>
    <t>Княжицький ЗДО "Княжичанка"</t>
  </si>
  <si>
    <t>0611021</t>
  </si>
  <si>
    <t>Надання загальної середньої освіти закладами загальної середньої освіти</t>
  </si>
  <si>
    <t>Боярське навчально-виховне об'єднання "загальнооствіня школа І ступеня-дитячий садок" Боярської міської ради</t>
  </si>
  <si>
    <t>Новосілківський ліцей</t>
  </si>
  <si>
    <t>Боярський академічний ліцей «Престиж»</t>
  </si>
  <si>
    <t xml:space="preserve">Боярський академічний ліцей «Лідер» </t>
  </si>
  <si>
    <t>Боярська загальноосвітня школа І-ІІІ ступенів №1</t>
  </si>
  <si>
    <t>Боярська загальноосвітня школа І-ІІІ ступенів №2</t>
  </si>
  <si>
    <t>Боярська загальноосвітня школа І-ІІІ ступенів №4</t>
  </si>
  <si>
    <t xml:space="preserve">Боярський академічний ліцей «Гармонія» </t>
  </si>
  <si>
    <r>
      <t>Заробітна плата</t>
    </r>
    <r>
      <rPr>
        <b/>
        <sz val="8"/>
        <color indexed="8"/>
        <rFont val="Arial"/>
        <family val="2"/>
        <charset val="204"/>
      </rPr>
      <t xml:space="preserve"> (дотація)</t>
    </r>
  </si>
  <si>
    <r>
      <t>Нарахування на оплату праці</t>
    </r>
    <r>
      <rPr>
        <b/>
        <sz val="8"/>
        <color indexed="8"/>
        <rFont val="Arial"/>
        <family val="2"/>
        <charset val="204"/>
      </rPr>
      <t xml:space="preserve"> (дотація)</t>
    </r>
  </si>
  <si>
    <t>Забірський опорной заклад загальної середньої освіти І-ІІІ ступенів</t>
  </si>
  <si>
    <t xml:space="preserve"> Малютянська загальноосвітня школа І-ІІІ ступенів</t>
  </si>
  <si>
    <t xml:space="preserve"> Тарасівська загальноосвітня школа І-ІІІ ступенів</t>
  </si>
  <si>
    <t>0611031</t>
  </si>
  <si>
    <t>Субсидії та поточні трансферти підприємствам (установам, організаціям)</t>
  </si>
  <si>
    <t>Новосілківська гімназія</t>
  </si>
  <si>
    <t>0611070</t>
  </si>
  <si>
    <t>Надання позашкільної освіти закладами позашкільної освіти, заходи із позашкільної роботи з дітьми</t>
  </si>
  <si>
    <t>Центр еколого-натуралістичної творчості "Юннати" Боярської міської ради</t>
  </si>
  <si>
    <t>Центр позашкільної освіти "Оберіг" Боярської міської ради</t>
  </si>
  <si>
    <t>0611151</t>
  </si>
  <si>
    <t>Забезпечення діяльності інклюзивно-ресурсних центрів за рахунок коштів місцевого бюджету</t>
  </si>
  <si>
    <t>08</t>
  </si>
  <si>
    <t>Управління соціального захисту населення Боярської міської ради</t>
  </si>
  <si>
    <t>0810160</t>
  </si>
  <si>
    <t>Надання пільг окремим категоріям громадян з оплати послуг зв'язку</t>
  </si>
  <si>
    <t>Інші виплати населенню</t>
  </si>
  <si>
    <t>Компенсаційні виплати за пільговий проїзд окремих категорій громадян на залізничному транспорті</t>
  </si>
  <si>
    <t>0813121</t>
  </si>
  <si>
    <t xml:space="preserve">Утримання та забезпечення діяльності центрів соціальних служб </t>
  </si>
  <si>
    <t>Оплата за воду та водовідведення</t>
  </si>
  <si>
    <t>вивіз сміття</t>
  </si>
  <si>
    <t>Компютера та ноутбук 18000*5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</si>
  <si>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</si>
  <si>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</si>
  <si>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</si>
  <si>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</si>
  <si>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2730</t>
  </si>
  <si>
    <t>0813192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</si>
  <si>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</si>
  <si>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0813242</t>
  </si>
  <si>
    <t>Інші заходи у сфері соціального захисту і соціального забезпечення</t>
  </si>
  <si>
    <t>09</t>
  </si>
  <si>
    <t>Служба у справах дітей Боярської міської ради</t>
  </si>
  <si>
    <t>0910160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</si>
  <si>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</si>
  <si>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</si>
  <si>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</t>
  </si>
  <si>
    <t>Управління культури, молоді та спорту Боярської міської ради</t>
  </si>
  <si>
    <t>1010160</t>
  </si>
  <si>
    <t>1011080</t>
  </si>
  <si>
    <t>Надання спеціальної освіти мистецькими школами</t>
  </si>
  <si>
    <t xml:space="preserve">Придбання обладнання і предметів </t>
  </si>
  <si>
    <t>1013133</t>
  </si>
  <si>
    <t>Програма підтримки та розвитку молоді і молодіжної політики та національно-патріотичного виховання</t>
  </si>
  <si>
    <t>Програма Стипендія міського голови</t>
  </si>
  <si>
    <t>1014030</t>
  </si>
  <si>
    <t>Забезпечення діяльності бібліотек</t>
  </si>
  <si>
    <t>Капітальний ремонт інших об'єктів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</si>
  <si>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</si>
  <si>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Придбання обладнання і предметів (цільовий фонд)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</si>
  <si>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</si>
  <si>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</si>
  <si>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</si>
  <si>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</si>
  <si>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</si>
  <si>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Забезпечення діяльності інших закладів в галузі культури і мистецтва</t>
  </si>
  <si>
    <t>Програма підтримки та розвитку дитячої школи мистецтва</t>
  </si>
  <si>
    <t>1014082</t>
  </si>
  <si>
    <t>Інші заходи в галузі культури і мистецтва</t>
  </si>
  <si>
    <t>Програма організації та проведення культурно-масових заходів</t>
  </si>
  <si>
    <t>1015031</t>
  </si>
  <si>
    <t>Утримання та навчально-тренувальна робота комунальних дитячо-юнацьких спортивних шкіл</t>
  </si>
  <si>
    <t>1015061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</si>
  <si>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</si>
  <si>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 xml:space="preserve">Програма розвитку волейболу </t>
  </si>
  <si>
    <t>Програма розвитку футболу</t>
  </si>
  <si>
    <t>1015062</t>
  </si>
  <si>
    <t>Програма розвитку фізичної культури та спорту КЗ ДЮСШ</t>
  </si>
  <si>
    <t>15</t>
  </si>
  <si>
    <t>Управління капітального будівництва Боярської міської ради</t>
  </si>
  <si>
    <t>1510160</t>
  </si>
  <si>
    <t>37</t>
  </si>
  <si>
    <t>Управління фінансів Боярської міської ради</t>
  </si>
  <si>
    <t>3710160</t>
  </si>
  <si>
    <t>8700</t>
  </si>
  <si>
    <t>Резервний фонд</t>
  </si>
  <si>
    <t>3718710</t>
  </si>
  <si>
    <t>Резервний фонд місцевого бюджету</t>
  </si>
  <si>
    <t>9000</t>
  </si>
  <si>
    <t>Нерозподілені видатки</t>
  </si>
  <si>
    <t>3719110</t>
  </si>
  <si>
    <t>Реверсна дотація </t>
  </si>
  <si>
    <t>2620</t>
  </si>
  <si>
    <t>Поточні трансферти органам державного управління інших рівнів</t>
  </si>
  <si>
    <t>3719770</t>
  </si>
  <si>
    <t>Інші субвенції з місцевого бюджету</t>
  </si>
  <si>
    <t>ВСЬОГО:</t>
  </si>
  <si>
    <t>Дотація комунальні послуги: охорона здоров'я -500000,00грн., освіта 2076700,00грн</t>
  </si>
  <si>
    <t xml:space="preserve">Освітня субвенція </t>
  </si>
  <si>
    <t>з них передача с ЗФ до СФ</t>
  </si>
  <si>
    <t xml:space="preserve"> </t>
  </si>
  <si>
    <t>0213050</t>
  </si>
  <si>
    <t>Пільгове медичне обслуговування осіб, які постраждали внаслідок Чорнобильської катастрофи</t>
  </si>
  <si>
    <t>в тому числі:</t>
  </si>
  <si>
    <r>
      <t xml:space="preserve">Програма розвитку, функціонування та підтримки(фінансоівої) комунального некомерційного підприємства "Лікарня інтенсивного лікування Бярської міської ради" на 2021-2025 роки. </t>
    </r>
    <r>
      <rPr>
        <b/>
        <i/>
        <sz val="8"/>
        <color indexed="8"/>
        <rFont val="Arial"/>
        <family val="2"/>
        <charset val="204"/>
      </rPr>
      <t>ЛІЛ комунальні послуги</t>
    </r>
  </si>
  <si>
    <r>
      <t xml:space="preserve">Програма розвитку, функціонування та підтримки(фінансоівої) комунального некомерційного підприємства "Лікарня інтенсивного лікування Бярської міської ради" на 2021-2025 роки. </t>
    </r>
    <r>
      <rPr>
        <b/>
        <i/>
        <sz val="8"/>
        <color indexed="8"/>
        <rFont val="Arial"/>
        <family val="2"/>
        <charset val="204"/>
      </rPr>
      <t>ЛІЛ комунальні послуги (дотація)</t>
    </r>
  </si>
  <si>
    <t>Субвенція з обласного бюджету (ЧАЕС пільгове зубопротезування -300000грн.,  пільгові ліки  -1060600грн)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</si>
</sst>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SansSerif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7"/>
      <color indexed="8"/>
      <name val="Times New Roman"/>
      <family val="1"/>
      <charset val="204"/>
    </font>
    <font>
      <sz val="8"/>
      <color rgb="FFFF0000"/>
      <name val="Arial"/>
      <family val="2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"/>
      <family val="2"/>
      <charset val="204"/>
    </font>
    <font>
      <b/>
      <sz val="8"/>
      <color rgb="FF333333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5">
    <xf numFmtId="0" fontId="0" fillId="0" borderId="0" xfId="0"/>
    <xf numFmtId="0" fontId="2" fillId="0" borderId="0" xfId="0" applyFont="1" applyBorder="1" applyAlignment="1" applyProtection="1">
      <alignment horizontal="left" vertical="top" wrapText="1"/>
    </xf>
    <xf numFmtId="3" fontId="3" fillId="0" borderId="0" xfId="0" applyNumberFormat="1" applyFont="1" applyBorder="1" applyAlignment="1" applyProtection="1">
      <alignment horizontal="left" vertical="top" wrapText="1"/>
    </xf>
    <xf numFmtId="3" fontId="4" fillId="0" borderId="0" xfId="0" applyNumberFormat="1" applyFont="1" applyAlignment="1">
      <alignment horizontal="right" vertical="top"/>
    </xf>
    <xf numFmtId="3" fontId="5" fillId="0" borderId="1" xfId="0" applyNumberFormat="1" applyFont="1" applyBorder="1" applyAlignment="1">
      <alignment vertical="top"/>
    </xf>
    <xf numFmtId="3" fontId="8" fillId="0" borderId="0" xfId="0" applyNumberFormat="1" applyFont="1" applyAlignment="1">
      <alignment vertical="top"/>
    </xf>
    <xf numFmtId="3" fontId="5" fillId="0" borderId="2" xfId="0" applyNumberFormat="1" applyFont="1" applyBorder="1" applyAlignment="1">
      <alignment vertical="top"/>
    </xf>
    <xf numFmtId="3" fontId="5" fillId="0" borderId="7" xfId="0" applyNumberFormat="1" applyFont="1" applyBorder="1" applyAlignment="1">
      <alignment horizontal="center" vertical="top"/>
    </xf>
    <xf numFmtId="3" fontId="5" fillId="0" borderId="13" xfId="0" applyNumberFormat="1" applyFont="1" applyBorder="1" applyAlignment="1">
      <alignment horizontal="center" vertical="top"/>
    </xf>
    <xf numFmtId="0" fontId="0" fillId="0" borderId="0" xfId="0" applyBorder="1"/>
    <xf numFmtId="0" fontId="7" fillId="0" borderId="15" xfId="0" applyFont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left" vertical="top" wrapText="1"/>
    </xf>
    <xf numFmtId="3" fontId="7" fillId="0" borderId="17" xfId="0" applyNumberFormat="1" applyFont="1" applyBorder="1" applyAlignment="1" applyProtection="1">
      <alignment horizontal="right" vertical="top" wrapText="1"/>
    </xf>
    <xf numFmtId="3" fontId="11" fillId="0" borderId="17" xfId="0" applyNumberFormat="1" applyFont="1" applyBorder="1" applyAlignment="1">
      <alignment vertical="top"/>
    </xf>
    <xf numFmtId="3" fontId="5" fillId="0" borderId="17" xfId="0" applyNumberFormat="1" applyFont="1" applyBorder="1" applyAlignment="1">
      <alignment vertical="top"/>
    </xf>
    <xf numFmtId="0" fontId="7" fillId="0" borderId="19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3" fontId="7" fillId="0" borderId="20" xfId="0" applyNumberFormat="1" applyFont="1" applyBorder="1" applyAlignment="1" applyProtection="1">
      <alignment horizontal="right" vertical="top" wrapText="1"/>
    </xf>
    <xf numFmtId="3" fontId="11" fillId="0" borderId="20" xfId="0" applyNumberFormat="1" applyFont="1" applyBorder="1" applyAlignment="1">
      <alignment vertical="top"/>
    </xf>
    <xf numFmtId="3" fontId="5" fillId="0" borderId="20" xfId="0" applyNumberFormat="1" applyFont="1" applyBorder="1" applyAlignment="1">
      <alignment vertical="top"/>
    </xf>
    <xf numFmtId="0" fontId="3" fillId="0" borderId="0" xfId="0" applyFont="1" applyBorder="1" applyAlignment="1" applyProtection="1">
      <alignment horizontal="left" vertical="top" wrapText="1"/>
    </xf>
    <xf numFmtId="3" fontId="3" fillId="0" borderId="0" xfId="0" applyNumberFormat="1" applyFont="1" applyBorder="1" applyAlignment="1" applyProtection="1">
      <alignment horizontal="right" vertical="top" wrapText="1"/>
    </xf>
    <xf numFmtId="3" fontId="8" fillId="0" borderId="0" xfId="0" applyNumberFormat="1" applyFont="1" applyBorder="1" applyAlignment="1">
      <alignment vertical="top"/>
    </xf>
    <xf numFmtId="0" fontId="3" fillId="0" borderId="19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3" fontId="3" fillId="0" borderId="20" xfId="0" applyNumberFormat="1" applyFont="1" applyBorder="1" applyAlignment="1" applyProtection="1">
      <alignment horizontal="right" vertical="top" wrapText="1"/>
    </xf>
    <xf numFmtId="3" fontId="8" fillId="0" borderId="20" xfId="0" applyNumberFormat="1" applyFont="1" applyBorder="1" applyAlignment="1">
      <alignment vertical="top"/>
    </xf>
    <xf numFmtId="3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 wrapText="1"/>
    </xf>
    <xf numFmtId="3" fontId="13" fillId="0" borderId="0" xfId="0" applyNumberFormat="1" applyFont="1" applyBorder="1" applyAlignment="1">
      <alignment vertical="top"/>
    </xf>
    <xf numFmtId="0" fontId="8" fillId="0" borderId="19" xfId="0" applyFont="1" applyBorder="1" applyAlignment="1" applyProtection="1">
      <alignment horizontal="left" vertical="top" wrapText="1"/>
    </xf>
    <xf numFmtId="0" fontId="14" fillId="0" borderId="22" xfId="0" applyFont="1" applyBorder="1" applyAlignment="1" applyProtection="1">
      <alignment horizontal="left" vertical="center" wrapText="1"/>
    </xf>
    <xf numFmtId="4" fontId="8" fillId="0" borderId="20" xfId="0" applyNumberFormat="1" applyFont="1" applyBorder="1" applyAlignment="1" applyProtection="1">
      <alignment horizontal="right" vertical="center" wrapText="1"/>
    </xf>
    <xf numFmtId="0" fontId="15" fillId="0" borderId="1" xfId="0" applyFont="1" applyBorder="1" applyAlignment="1" applyProtection="1">
      <alignment horizontal="left" vertical="top" wrapText="1"/>
    </xf>
    <xf numFmtId="0" fontId="3" fillId="2" borderId="20" xfId="0" applyFont="1" applyFill="1" applyBorder="1" applyAlignment="1" applyProtection="1">
      <alignment horizontal="left" vertical="top" wrapText="1"/>
    </xf>
    <xf numFmtId="0" fontId="7" fillId="2" borderId="19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3" fontId="7" fillId="2" borderId="20" xfId="0" applyNumberFormat="1" applyFont="1" applyFill="1" applyBorder="1" applyAlignment="1" applyProtection="1">
      <alignment horizontal="right" vertical="top" wrapText="1"/>
    </xf>
    <xf numFmtId="3" fontId="11" fillId="2" borderId="20" xfId="0" applyNumberFormat="1" applyFont="1" applyFill="1" applyBorder="1" applyAlignment="1">
      <alignment vertical="top"/>
    </xf>
    <xf numFmtId="0" fontId="3" fillId="2" borderId="19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left" vertical="top" wrapText="1"/>
    </xf>
    <xf numFmtId="3" fontId="3" fillId="2" borderId="20" xfId="0" applyNumberFormat="1" applyFont="1" applyFill="1" applyBorder="1" applyAlignment="1" applyProtection="1">
      <alignment horizontal="right" vertical="top" wrapText="1"/>
    </xf>
    <xf numFmtId="3" fontId="8" fillId="2" borderId="20" xfId="0" applyNumberFormat="1" applyFont="1" applyFill="1" applyBorder="1" applyAlignment="1">
      <alignment vertical="top"/>
    </xf>
    <xf numFmtId="0" fontId="7" fillId="0" borderId="19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3" fontId="7" fillId="0" borderId="20" xfId="0" applyNumberFormat="1" applyFont="1" applyFill="1" applyBorder="1" applyAlignment="1" applyProtection="1">
      <alignment horizontal="right" vertical="top" wrapText="1"/>
    </xf>
    <xf numFmtId="3" fontId="11" fillId="0" borderId="20" xfId="0" applyNumberFormat="1" applyFont="1" applyFill="1" applyBorder="1" applyAlignment="1">
      <alignment vertical="top"/>
    </xf>
    <xf numFmtId="0" fontId="3" fillId="0" borderId="19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</xf>
    <xf numFmtId="3" fontId="3" fillId="0" borderId="20" xfId="0" applyNumberFormat="1" applyFont="1" applyFill="1" applyBorder="1" applyAlignment="1" applyProtection="1">
      <alignment horizontal="right" vertical="top" wrapText="1"/>
    </xf>
    <xf numFmtId="3" fontId="8" fillId="0" borderId="20" xfId="0" applyNumberFormat="1" applyFont="1" applyFill="1" applyBorder="1" applyAlignment="1">
      <alignment vertical="top"/>
    </xf>
    <xf numFmtId="0" fontId="16" fillId="0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</xf>
    <xf numFmtId="3" fontId="8" fillId="0" borderId="20" xfId="0" applyNumberFormat="1" applyFont="1" applyBorder="1" applyAlignment="1" applyProtection="1">
      <alignment horizontal="right" vertical="top" wrapText="1"/>
    </xf>
    <xf numFmtId="0" fontId="13" fillId="0" borderId="19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3" fontId="13" fillId="0" borderId="20" xfId="0" applyNumberFormat="1" applyFont="1" applyBorder="1" applyAlignment="1" applyProtection="1">
      <alignment horizontal="right" vertical="top" wrapText="1"/>
    </xf>
    <xf numFmtId="3" fontId="13" fillId="0" borderId="20" xfId="0" applyNumberFormat="1" applyFont="1" applyBorder="1" applyAlignment="1">
      <alignment vertical="top"/>
    </xf>
    <xf numFmtId="0" fontId="17" fillId="0" borderId="1" xfId="0" applyFont="1" applyBorder="1" applyAlignment="1" applyProtection="1">
      <alignment horizontal="left" vertical="top" wrapText="1"/>
    </xf>
    <xf numFmtId="0" fontId="15" fillId="0" borderId="20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3" fontId="20" fillId="0" borderId="0" xfId="1" applyNumberFormat="1" applyFont="1" applyBorder="1" applyAlignment="1">
      <alignment vertical="top" wrapText="1"/>
    </xf>
    <xf numFmtId="0" fontId="8" fillId="0" borderId="19" xfId="0" applyFont="1" applyFill="1" applyBorder="1" applyAlignment="1" applyProtection="1">
      <alignment horizontal="left" vertical="top" wrapText="1"/>
    </xf>
    <xf numFmtId="0" fontId="8" fillId="0" borderId="22" xfId="0" applyFont="1" applyFill="1" applyBorder="1" applyAlignment="1" applyProtection="1">
      <alignment horizontal="left" vertical="center" wrapText="1"/>
    </xf>
    <xf numFmtId="3" fontId="8" fillId="0" borderId="20" xfId="0" applyNumberFormat="1" applyFont="1" applyFill="1" applyBorder="1" applyAlignment="1" applyProtection="1">
      <alignment horizontal="right" vertical="top" wrapText="1"/>
    </xf>
    <xf numFmtId="3" fontId="21" fillId="0" borderId="20" xfId="0" applyNumberFormat="1" applyFont="1" applyBorder="1" applyAlignment="1">
      <alignment vertical="top"/>
    </xf>
    <xf numFmtId="0" fontId="19" fillId="0" borderId="0" xfId="1" applyFont="1" applyBorder="1" applyAlignment="1">
      <alignment vertical="top" wrapText="1"/>
    </xf>
    <xf numFmtId="0" fontId="19" fillId="0" borderId="0" xfId="1" applyFont="1" applyBorder="1" applyAlignment="1">
      <alignment horizontal="center" vertical="top" wrapText="1"/>
    </xf>
    <xf numFmtId="3" fontId="8" fillId="0" borderId="20" xfId="0" applyNumberFormat="1" applyFont="1" applyFill="1" applyBorder="1"/>
    <xf numFmtId="0" fontId="13" fillId="0" borderId="19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3" fontId="13" fillId="0" borderId="20" xfId="0" applyNumberFormat="1" applyFont="1" applyFill="1" applyBorder="1" applyAlignment="1" applyProtection="1">
      <alignment horizontal="right" vertical="top" wrapText="1"/>
    </xf>
    <xf numFmtId="3" fontId="13" fillId="0" borderId="20" xfId="0" applyNumberFormat="1" applyFont="1" applyFill="1" applyBorder="1" applyAlignment="1">
      <alignment vertical="top"/>
    </xf>
    <xf numFmtId="4" fontId="8" fillId="0" borderId="20" xfId="0" applyNumberFormat="1" applyFont="1" applyFill="1" applyBorder="1" applyAlignment="1">
      <alignment horizontal="right" vertical="center"/>
    </xf>
    <xf numFmtId="4" fontId="0" fillId="0" borderId="20" xfId="0" applyNumberFormat="1" applyFill="1" applyBorder="1"/>
    <xf numFmtId="4" fontId="22" fillId="0" borderId="20" xfId="0" applyNumberFormat="1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23" xfId="0" applyFont="1" applyFill="1" applyBorder="1" applyAlignment="1" applyProtection="1">
      <alignment horizontal="left" vertical="top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>
      <alignment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top" wrapText="1"/>
    </xf>
    <xf numFmtId="0" fontId="25" fillId="0" borderId="0" xfId="0" applyFont="1" applyFill="1" applyBorder="1"/>
    <xf numFmtId="0" fontId="25" fillId="0" borderId="1" xfId="0" applyFont="1" applyFill="1" applyBorder="1"/>
    <xf numFmtId="49" fontId="7" fillId="0" borderId="19" xfId="0" applyNumberFormat="1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11" fillId="0" borderId="19" xfId="0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horizontal="left" vertical="top" wrapText="1"/>
    </xf>
    <xf numFmtId="3" fontId="11" fillId="0" borderId="20" xfId="0" applyNumberFormat="1" applyFont="1" applyFill="1" applyBorder="1" applyAlignment="1" applyProtection="1">
      <alignment horizontal="right" vertical="top" wrapText="1"/>
    </xf>
    <xf numFmtId="3" fontId="1" fillId="0" borderId="17" xfId="0" applyNumberFormat="1" applyFont="1" applyBorder="1"/>
    <xf numFmtId="3" fontId="28" fillId="0" borderId="27" xfId="0" applyNumberFormat="1" applyFont="1" applyBorder="1" applyAlignment="1">
      <alignment vertical="top"/>
    </xf>
    <xf numFmtId="3" fontId="5" fillId="0" borderId="16" xfId="0" applyNumberFormat="1" applyFont="1" applyBorder="1" applyAlignment="1">
      <alignment vertical="top"/>
    </xf>
    <xf numFmtId="3" fontId="1" fillId="0" borderId="20" xfId="0" applyNumberFormat="1" applyFont="1" applyBorder="1"/>
    <xf numFmtId="3" fontId="28" fillId="0" borderId="28" xfId="0" applyNumberFormat="1" applyFont="1" applyBorder="1" applyAlignment="1">
      <alignment vertical="top"/>
    </xf>
    <xf numFmtId="0" fontId="27" fillId="0" borderId="20" xfId="0" applyFont="1" applyBorder="1" applyAlignment="1" applyProtection="1">
      <alignment vertical="top" wrapText="1"/>
    </xf>
    <xf numFmtId="0" fontId="11" fillId="0" borderId="0" xfId="0" applyFont="1" applyAlignment="1">
      <alignment horizontal="center"/>
    </xf>
    <xf numFmtId="3" fontId="8" fillId="0" borderId="0" xfId="0" applyNumberFormat="1" applyFont="1"/>
    <xf numFmtId="3" fontId="4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/>
    <xf numFmtId="164" fontId="11" fillId="0" borderId="21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9" fillId="0" borderId="0" xfId="0" applyNumberFormat="1" applyFont="1" applyAlignment="1">
      <alignment vertical="top"/>
    </xf>
    <xf numFmtId="164" fontId="11" fillId="0" borderId="18" xfId="0" applyNumberFormat="1" applyFont="1" applyBorder="1" applyAlignment="1">
      <alignment vertical="top"/>
    </xf>
    <xf numFmtId="3" fontId="21" fillId="0" borderId="13" xfId="0" applyNumberFormat="1" applyFont="1" applyBorder="1" applyAlignment="1">
      <alignment vertical="top"/>
    </xf>
    <xf numFmtId="0" fontId="7" fillId="0" borderId="20" xfId="0" applyFont="1" applyBorder="1" applyAlignment="1" applyProtection="1">
      <alignment horizontal="left" vertical="top" wrapText="1"/>
    </xf>
    <xf numFmtId="3" fontId="11" fillId="0" borderId="0" xfId="0" applyNumberFormat="1" applyFont="1" applyBorder="1" applyAlignment="1">
      <alignment vertical="top"/>
    </xf>
    <xf numFmtId="164" fontId="11" fillId="0" borderId="0" xfId="0" applyNumberFormat="1" applyFont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7" fillId="0" borderId="29" xfId="0" applyNumberFormat="1" applyFont="1" applyBorder="1" applyAlignment="1" applyProtection="1">
      <alignment horizontal="right" vertical="top" wrapText="1"/>
    </xf>
    <xf numFmtId="3" fontId="7" fillId="0" borderId="30" xfId="0" applyNumberFormat="1" applyFont="1" applyBorder="1" applyAlignment="1" applyProtection="1">
      <alignment horizontal="right" vertical="top" wrapText="1"/>
    </xf>
    <xf numFmtId="3" fontId="5" fillId="0" borderId="33" xfId="0" applyNumberFormat="1" applyFont="1" applyBorder="1" applyAlignment="1">
      <alignment vertical="top"/>
    </xf>
    <xf numFmtId="3" fontId="5" fillId="0" borderId="34" xfId="0" applyNumberFormat="1" applyFont="1" applyBorder="1" applyAlignment="1">
      <alignment vertical="top"/>
    </xf>
    <xf numFmtId="3" fontId="5" fillId="0" borderId="35" xfId="0" applyNumberFormat="1" applyFont="1" applyBorder="1" applyAlignment="1">
      <alignment vertical="top"/>
    </xf>
    <xf numFmtId="3" fontId="7" fillId="0" borderId="38" xfId="0" applyNumberFormat="1" applyFont="1" applyBorder="1" applyAlignment="1" applyProtection="1">
      <alignment horizontal="right" vertical="top" wrapText="1"/>
    </xf>
    <xf numFmtId="3" fontId="7" fillId="0" borderId="39" xfId="0" applyNumberFormat="1" applyFont="1" applyBorder="1" applyAlignment="1" applyProtection="1">
      <alignment horizontal="right" vertical="top" wrapText="1"/>
    </xf>
    <xf numFmtId="0" fontId="29" fillId="0" borderId="25" xfId="0" applyFont="1" applyBorder="1" applyAlignment="1" applyProtection="1">
      <alignment horizontal="center" vertical="top" wrapText="1"/>
    </xf>
    <xf numFmtId="0" fontId="29" fillId="0" borderId="26" xfId="0" applyFont="1" applyBorder="1" applyAlignment="1" applyProtection="1">
      <alignment horizontal="center" vertical="top" wrapText="1"/>
    </xf>
    <xf numFmtId="0" fontId="27" fillId="0" borderId="36" xfId="0" applyFont="1" applyBorder="1" applyAlignment="1" applyProtection="1">
      <alignment horizontal="center" vertical="center" wrapText="1"/>
    </xf>
    <xf numFmtId="0" fontId="27" fillId="0" borderId="3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top" wrapText="1"/>
    </xf>
    <xf numFmtId="3" fontId="7" fillId="0" borderId="11" xfId="0" applyNumberFormat="1" applyFont="1" applyBorder="1" applyAlignment="1" applyProtection="1">
      <alignment horizontal="center" vertical="top" wrapText="1"/>
    </xf>
    <xf numFmtId="3" fontId="7" fillId="0" borderId="6" xfId="0" applyNumberFormat="1" applyFont="1" applyBorder="1" applyAlignment="1" applyProtection="1">
      <alignment horizontal="center" vertical="top" wrapText="1"/>
    </xf>
    <xf numFmtId="3" fontId="7" fillId="0" borderId="12" xfId="0" applyNumberFormat="1" applyFont="1" applyBorder="1" applyAlignment="1" applyProtection="1">
      <alignment horizontal="center" vertical="top" wrapText="1"/>
    </xf>
    <xf numFmtId="0" fontId="10" fillId="0" borderId="8" xfId="0" applyFont="1" applyBorder="1" applyAlignment="1" applyProtection="1">
      <alignment horizontal="center" vertical="top" wrapText="1"/>
    </xf>
    <xf numFmtId="0" fontId="10" fillId="0" borderId="14" xfId="0" applyFont="1" applyBorder="1" applyAlignment="1" applyProtection="1">
      <alignment horizontal="center" vertical="top" wrapText="1"/>
    </xf>
    <xf numFmtId="164" fontId="10" fillId="0" borderId="8" xfId="0" applyNumberFormat="1" applyFont="1" applyBorder="1" applyAlignment="1" applyProtection="1">
      <alignment horizontal="center" vertical="top" wrapText="1"/>
    </xf>
    <xf numFmtId="164" fontId="10" fillId="0" borderId="14" xfId="0" applyNumberFormat="1" applyFont="1" applyBorder="1" applyAlignment="1" applyProtection="1">
      <alignment horizontal="center" vertical="top" wrapText="1"/>
    </xf>
    <xf numFmtId="0" fontId="27" fillId="0" borderId="23" xfId="0" applyFont="1" applyBorder="1" applyAlignment="1" applyProtection="1">
      <alignment horizontal="center" vertical="center" wrapText="1"/>
    </xf>
    <xf numFmtId="0" fontId="27" fillId="0" borderId="29" xfId="0" applyFont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top" wrapText="1"/>
    </xf>
    <xf numFmtId="0" fontId="27" fillId="0" borderId="32" xfId="0" applyFont="1" applyBorder="1" applyAlignment="1" applyProtection="1">
      <alignment horizontal="center" vertical="top" wrapText="1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7" fillId="0" borderId="25" xfId="0" applyFont="1" applyBorder="1" applyAlignment="1" applyProtection="1">
      <alignment horizontal="center" vertical="top" wrapText="1"/>
    </xf>
    <xf numFmtId="0" fontId="27" fillId="0" borderId="26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tabSelected="1" topLeftCell="B1" zoomScaleNormal="100" workbookViewId="0">
      <selection activeCell="L656" sqref="L656"/>
    </sheetView>
  </sheetViews>
  <sheetFormatPr defaultRowHeight="12.75"/>
  <cols>
    <col min="1" max="1" width="8.85546875" hidden="1" customWidth="1"/>
    <col min="2" max="2" width="8.85546875" customWidth="1"/>
    <col min="3" max="3" width="10.140625" style="109" customWidth="1"/>
    <col min="4" max="4" width="61.42578125" style="109" customWidth="1"/>
    <col min="5" max="5" width="12.5703125" style="106" customWidth="1"/>
    <col min="6" max="6" width="13.85546875" style="5" customWidth="1"/>
    <col min="7" max="7" width="11.85546875" style="4" hidden="1" customWidth="1"/>
    <col min="8" max="8" width="12.42578125" style="112" customWidth="1"/>
    <col min="9" max="9" width="10.7109375" style="113" customWidth="1"/>
    <col min="10" max="10" width="10.7109375" customWidth="1"/>
    <col min="13" max="13" width="24" customWidth="1"/>
  </cols>
  <sheetData>
    <row r="1" spans="1:18" ht="14.25" customHeight="1">
      <c r="A1" s="1"/>
      <c r="B1" s="1"/>
      <c r="C1" s="132"/>
      <c r="D1" s="132"/>
      <c r="E1" s="2"/>
      <c r="F1" s="3"/>
    </row>
    <row r="2" spans="1:18" ht="20.100000000000001" customHeight="1">
      <c r="A2" s="1"/>
      <c r="B2" s="1"/>
      <c r="C2" s="133" t="s">
        <v>0</v>
      </c>
      <c r="D2" s="133"/>
      <c r="E2" s="133"/>
      <c r="F2" s="133"/>
      <c r="G2" s="133"/>
      <c r="H2" s="133"/>
      <c r="I2" s="133"/>
    </row>
    <row r="3" spans="1:18" ht="22.5" customHeight="1">
      <c r="A3" s="1"/>
      <c r="B3" s="1"/>
      <c r="C3" s="134" t="s">
        <v>1</v>
      </c>
      <c r="D3" s="134"/>
      <c r="E3" s="134"/>
    </row>
    <row r="4" spans="1:18" ht="21.75" customHeight="1" thickBot="1">
      <c r="A4" s="1"/>
      <c r="B4" s="1"/>
      <c r="C4" s="132"/>
      <c r="D4" s="132"/>
      <c r="E4" s="2"/>
      <c r="G4" s="6"/>
      <c r="I4" s="114" t="s">
        <v>2</v>
      </c>
    </row>
    <row r="5" spans="1:18" ht="14.1" customHeight="1">
      <c r="A5" s="1"/>
      <c r="B5" s="1"/>
      <c r="C5" s="135" t="s">
        <v>3</v>
      </c>
      <c r="D5" s="137" t="s">
        <v>4</v>
      </c>
      <c r="E5" s="139" t="s">
        <v>5</v>
      </c>
      <c r="F5" s="141" t="s">
        <v>6</v>
      </c>
      <c r="G5" s="7"/>
      <c r="H5" s="143" t="s">
        <v>7</v>
      </c>
      <c r="I5" s="145" t="s">
        <v>8</v>
      </c>
    </row>
    <row r="6" spans="1:18" ht="33.950000000000003" customHeight="1" thickBot="1">
      <c r="A6" s="1"/>
      <c r="B6" s="1"/>
      <c r="C6" s="136"/>
      <c r="D6" s="138"/>
      <c r="E6" s="140"/>
      <c r="F6" s="142"/>
      <c r="G6" s="8"/>
      <c r="H6" s="144"/>
      <c r="I6" s="146"/>
      <c r="K6" s="9"/>
      <c r="L6" s="9"/>
      <c r="M6" s="9"/>
      <c r="N6" s="9"/>
    </row>
    <row r="7" spans="1:18" ht="14.25" customHeight="1">
      <c r="A7" s="1"/>
      <c r="B7" s="1"/>
      <c r="C7" s="10" t="s">
        <v>9</v>
      </c>
      <c r="D7" s="11" t="s">
        <v>10</v>
      </c>
      <c r="E7" s="12">
        <v>178624337.22</v>
      </c>
      <c r="F7" s="13">
        <f>F8+F22+F26+F29+F33+F35+F42+F44+F49+F52+F60+F68+F70+F74+F58+F65+F56+F72+F39+F63+F31+F37</f>
        <v>187947051</v>
      </c>
      <c r="G7" s="14"/>
      <c r="H7" s="13">
        <f>F7-E7</f>
        <v>9322713.7800000012</v>
      </c>
      <c r="I7" s="115">
        <f>F7/E7</f>
        <v>1.052191733361159</v>
      </c>
      <c r="K7" s="9"/>
      <c r="L7" s="9"/>
      <c r="M7" s="9"/>
      <c r="N7" s="9"/>
    </row>
    <row r="8" spans="1:18" ht="20.25" customHeight="1">
      <c r="A8" s="1"/>
      <c r="B8" s="1"/>
      <c r="C8" s="15" t="s">
        <v>11</v>
      </c>
      <c r="D8" s="16" t="s">
        <v>12</v>
      </c>
      <c r="E8" s="17">
        <v>47707879</v>
      </c>
      <c r="F8" s="18">
        <f>F9+F10+F11+F12+F13+F14+F15+F16+F17+F18+F19+F20+F21</f>
        <v>53345658</v>
      </c>
      <c r="G8" s="19"/>
      <c r="H8" s="18">
        <f t="shared" ref="H8:H73" si="0">F8-E8</f>
        <v>5637779</v>
      </c>
      <c r="I8" s="110">
        <f t="shared" ref="I8:I72" si="1">F8/E8</f>
        <v>1.1181729122772361</v>
      </c>
      <c r="K8" s="9"/>
      <c r="L8" s="20"/>
      <c r="M8" s="20"/>
      <c r="N8" s="21"/>
      <c r="O8" s="21"/>
      <c r="P8" s="21"/>
      <c r="Q8" s="21"/>
      <c r="R8" s="22"/>
    </row>
    <row r="9" spans="1:18" ht="12" customHeight="1">
      <c r="A9" s="1"/>
      <c r="B9" s="1"/>
      <c r="C9" s="23" t="s">
        <v>13</v>
      </c>
      <c r="D9" s="24" t="s">
        <v>14</v>
      </c>
      <c r="E9" s="25">
        <v>34552503</v>
      </c>
      <c r="F9" s="26">
        <v>37467816</v>
      </c>
      <c r="G9" s="19"/>
      <c r="H9" s="26">
        <f t="shared" si="0"/>
        <v>2915313</v>
      </c>
      <c r="I9" s="111">
        <f t="shared" si="1"/>
        <v>1.0843734244086456</v>
      </c>
      <c r="J9" s="27"/>
      <c r="K9" s="9"/>
      <c r="L9" s="20"/>
      <c r="M9" s="20"/>
      <c r="N9" s="21"/>
      <c r="O9" s="21"/>
      <c r="P9" s="21"/>
      <c r="Q9" s="21"/>
      <c r="R9" s="22"/>
    </row>
    <row r="10" spans="1:18" ht="12" customHeight="1">
      <c r="A10" s="1"/>
      <c r="B10" s="1"/>
      <c r="C10" s="23" t="s">
        <v>15</v>
      </c>
      <c r="D10" s="24" t="s">
        <v>16</v>
      </c>
      <c r="E10" s="25">
        <v>7601510</v>
      </c>
      <c r="F10" s="26">
        <v>8242920</v>
      </c>
      <c r="G10" s="19"/>
      <c r="H10" s="26">
        <f t="shared" si="0"/>
        <v>641410</v>
      </c>
      <c r="I10" s="111">
        <f t="shared" si="1"/>
        <v>1.0843792877993979</v>
      </c>
      <c r="J10" s="27"/>
      <c r="K10" s="9"/>
      <c r="L10" s="20"/>
      <c r="M10" s="20"/>
      <c r="N10" s="21"/>
      <c r="O10" s="21"/>
      <c r="P10" s="21"/>
      <c r="Q10" s="21"/>
      <c r="R10" s="22"/>
    </row>
    <row r="11" spans="1:18" ht="14.25" customHeight="1">
      <c r="A11" s="1"/>
      <c r="B11" s="1"/>
      <c r="C11" s="23" t="s">
        <v>17</v>
      </c>
      <c r="D11" s="24" t="s">
        <v>18</v>
      </c>
      <c r="E11" s="25">
        <v>1077650</v>
      </c>
      <c r="F11" s="26">
        <v>1493000</v>
      </c>
      <c r="G11" s="19"/>
      <c r="H11" s="26">
        <f t="shared" si="0"/>
        <v>415350</v>
      </c>
      <c r="I11" s="111">
        <f t="shared" si="1"/>
        <v>1.3854219830186052</v>
      </c>
      <c r="J11" s="27"/>
      <c r="K11" s="9"/>
      <c r="L11" s="20"/>
      <c r="M11" s="20"/>
      <c r="N11" s="21"/>
      <c r="O11" s="21"/>
      <c r="P11" s="21"/>
      <c r="Q11" s="21"/>
      <c r="R11" s="22"/>
    </row>
    <row r="12" spans="1:18" ht="21.75" customHeight="1">
      <c r="A12" s="1"/>
      <c r="B12" s="1"/>
      <c r="C12" s="23" t="s">
        <v>19</v>
      </c>
      <c r="D12" s="24" t="s">
        <v>20</v>
      </c>
      <c r="E12" s="25">
        <v>1423340</v>
      </c>
      <c r="F12" s="26">
        <v>600500</v>
      </c>
      <c r="G12" s="19"/>
      <c r="H12" s="26">
        <f t="shared" si="0"/>
        <v>-822840</v>
      </c>
      <c r="I12" s="111">
        <f t="shared" si="1"/>
        <v>0.42189497941461634</v>
      </c>
      <c r="J12" s="27"/>
      <c r="K12" s="9"/>
      <c r="L12" s="20"/>
      <c r="M12" s="20"/>
      <c r="N12" s="21"/>
      <c r="O12" s="21"/>
      <c r="P12" s="21"/>
      <c r="Q12" s="21"/>
      <c r="R12" s="22"/>
    </row>
    <row r="13" spans="1:18" ht="12" customHeight="1">
      <c r="A13" s="1"/>
      <c r="B13" s="1"/>
      <c r="C13" s="23" t="s">
        <v>21</v>
      </c>
      <c r="D13" s="24" t="s">
        <v>22</v>
      </c>
      <c r="E13" s="25">
        <v>100000</v>
      </c>
      <c r="F13" s="26">
        <v>100000</v>
      </c>
      <c r="G13" s="19"/>
      <c r="H13" s="26">
        <f t="shared" si="0"/>
        <v>0</v>
      </c>
      <c r="I13" s="111">
        <f t="shared" si="1"/>
        <v>1</v>
      </c>
      <c r="K13" s="9"/>
      <c r="L13" s="20"/>
      <c r="M13" s="20"/>
      <c r="N13" s="21"/>
      <c r="O13" s="21"/>
      <c r="P13" s="21"/>
      <c r="Q13" s="21"/>
      <c r="R13" s="22"/>
    </row>
    <row r="14" spans="1:18" ht="17.25" customHeight="1">
      <c r="A14" s="1"/>
      <c r="B14" s="1"/>
      <c r="C14" s="23" t="s">
        <v>23</v>
      </c>
      <c r="D14" s="24" t="s">
        <v>24</v>
      </c>
      <c r="E14" s="25">
        <v>370000</v>
      </c>
      <c r="F14" s="26">
        <v>495500</v>
      </c>
      <c r="G14" s="19"/>
      <c r="H14" s="26">
        <f t="shared" si="0"/>
        <v>125500</v>
      </c>
      <c r="I14" s="111">
        <f t="shared" si="1"/>
        <v>1.3391891891891892</v>
      </c>
      <c r="K14" s="9"/>
      <c r="L14" s="20"/>
      <c r="M14" s="20"/>
      <c r="N14" s="21"/>
      <c r="O14" s="21"/>
      <c r="P14" s="21"/>
      <c r="Q14" s="21"/>
      <c r="R14" s="22"/>
    </row>
    <row r="15" spans="1:18" ht="12.75" customHeight="1">
      <c r="A15" s="1"/>
      <c r="B15" s="1"/>
      <c r="C15" s="23" t="s">
        <v>25</v>
      </c>
      <c r="D15" s="24" t="s">
        <v>26</v>
      </c>
      <c r="E15" s="25">
        <v>15000</v>
      </c>
      <c r="F15" s="26">
        <v>56775</v>
      </c>
      <c r="G15" s="19"/>
      <c r="H15" s="26">
        <f t="shared" si="0"/>
        <v>41775</v>
      </c>
      <c r="I15" s="111">
        <f t="shared" si="1"/>
        <v>3.7850000000000001</v>
      </c>
      <c r="K15" s="9"/>
      <c r="L15" s="20"/>
      <c r="M15" s="20"/>
      <c r="N15" s="21"/>
      <c r="O15" s="21"/>
      <c r="P15" s="21"/>
      <c r="Q15" s="21"/>
      <c r="R15" s="22"/>
    </row>
    <row r="16" spans="1:18" ht="12" customHeight="1">
      <c r="A16" s="1"/>
      <c r="B16" s="1"/>
      <c r="C16" s="23" t="s">
        <v>27</v>
      </c>
      <c r="D16" s="24" t="s">
        <v>28</v>
      </c>
      <c r="E16" s="25">
        <v>1160000</v>
      </c>
      <c r="F16" s="26">
        <v>2632032</v>
      </c>
      <c r="G16" s="19"/>
      <c r="H16" s="26">
        <f t="shared" si="0"/>
        <v>1472032</v>
      </c>
      <c r="I16" s="111">
        <f t="shared" si="1"/>
        <v>2.2689931034482758</v>
      </c>
      <c r="K16" s="9"/>
      <c r="L16" s="20"/>
      <c r="M16" s="20"/>
      <c r="N16" s="21"/>
      <c r="O16" s="21"/>
      <c r="P16" s="21"/>
      <c r="Q16" s="21"/>
      <c r="R16" s="22"/>
    </row>
    <row r="17" spans="1:18" ht="12" customHeight="1">
      <c r="A17" s="1"/>
      <c r="B17" s="1"/>
      <c r="C17" s="23" t="s">
        <v>29</v>
      </c>
      <c r="D17" s="24" t="s">
        <v>30</v>
      </c>
      <c r="E17" s="25">
        <v>596876</v>
      </c>
      <c r="F17" s="26">
        <v>897515</v>
      </c>
      <c r="G17" s="19"/>
      <c r="H17" s="26">
        <f t="shared" si="0"/>
        <v>300639</v>
      </c>
      <c r="I17" s="111">
        <f t="shared" si="1"/>
        <v>1.5036875330889499</v>
      </c>
      <c r="K17" s="9"/>
      <c r="L17" s="20"/>
      <c r="M17" s="20"/>
      <c r="N17" s="21"/>
      <c r="O17" s="21"/>
      <c r="P17" s="21"/>
      <c r="Q17" s="21"/>
      <c r="R17" s="22"/>
    </row>
    <row r="18" spans="1:18" ht="20.100000000000001" customHeight="1">
      <c r="A18" s="1"/>
      <c r="B18" s="1"/>
      <c r="C18" s="23" t="s">
        <v>31</v>
      </c>
      <c r="D18" s="24" t="s">
        <v>32</v>
      </c>
      <c r="E18" s="25">
        <v>581000</v>
      </c>
      <c r="F18" s="26">
        <v>509600</v>
      </c>
      <c r="G18" s="19"/>
      <c r="H18" s="26">
        <f t="shared" si="0"/>
        <v>-71400</v>
      </c>
      <c r="I18" s="111">
        <f t="shared" si="1"/>
        <v>0.87710843373493974</v>
      </c>
      <c r="K18" s="9"/>
      <c r="L18" s="20"/>
      <c r="M18" s="20"/>
      <c r="N18" s="21"/>
      <c r="O18" s="21"/>
      <c r="P18" s="21"/>
      <c r="Q18" s="21"/>
      <c r="R18" s="22"/>
    </row>
    <row r="19" spans="1:18" ht="14.25" customHeight="1">
      <c r="A19" s="1"/>
      <c r="B19" s="1"/>
      <c r="C19" s="23" t="s">
        <v>33</v>
      </c>
      <c r="D19" s="24" t="s">
        <v>34</v>
      </c>
      <c r="E19" s="25">
        <v>30000</v>
      </c>
      <c r="F19" s="26">
        <v>30000</v>
      </c>
      <c r="G19" s="19"/>
      <c r="H19" s="26">
        <f t="shared" si="0"/>
        <v>0</v>
      </c>
      <c r="I19" s="111">
        <f t="shared" si="1"/>
        <v>1</v>
      </c>
      <c r="K19" s="9"/>
      <c r="L19" s="20"/>
      <c r="M19" s="20"/>
      <c r="N19" s="21"/>
      <c r="O19" s="21"/>
      <c r="P19" s="21"/>
      <c r="Q19" s="21"/>
      <c r="R19" s="22"/>
    </row>
    <row r="20" spans="1:18" ht="12" customHeight="1">
      <c r="A20" s="1"/>
      <c r="B20" s="1"/>
      <c r="C20" s="23" t="s">
        <v>35</v>
      </c>
      <c r="D20" s="24" t="s">
        <v>36</v>
      </c>
      <c r="E20" s="25">
        <v>200000</v>
      </c>
      <c r="F20" s="26">
        <v>320000</v>
      </c>
      <c r="G20" s="19"/>
      <c r="H20" s="26">
        <f t="shared" si="0"/>
        <v>120000</v>
      </c>
      <c r="I20" s="111">
        <f t="shared" si="1"/>
        <v>1.6</v>
      </c>
      <c r="K20" s="9"/>
      <c r="L20" s="28"/>
      <c r="M20" s="29"/>
      <c r="N20" s="29"/>
      <c r="O20" s="29"/>
      <c r="P20" s="29"/>
      <c r="Q20" s="29"/>
      <c r="R20" s="30"/>
    </row>
    <row r="21" spans="1:18" ht="13.5" customHeight="1">
      <c r="A21" s="1"/>
      <c r="B21" s="1"/>
      <c r="C21" s="31">
        <v>3110</v>
      </c>
      <c r="D21" s="32" t="s">
        <v>37</v>
      </c>
      <c r="E21" s="33">
        <v>975800</v>
      </c>
      <c r="F21" s="26">
        <v>500000</v>
      </c>
      <c r="G21" s="19"/>
      <c r="H21" s="26">
        <f t="shared" si="0"/>
        <v>-475800</v>
      </c>
      <c r="I21" s="111">
        <f t="shared" si="1"/>
        <v>0.5124000819840131</v>
      </c>
      <c r="K21" s="9"/>
      <c r="L21" s="9"/>
      <c r="M21" s="9"/>
      <c r="N21" s="9"/>
      <c r="O21" s="9"/>
      <c r="P21" s="9"/>
      <c r="Q21" s="9"/>
      <c r="R21" s="9"/>
    </row>
    <row r="22" spans="1:18" ht="16.5" customHeight="1">
      <c r="A22" s="1"/>
      <c r="B22" s="1"/>
      <c r="C22" s="15" t="s">
        <v>38</v>
      </c>
      <c r="D22" s="16" t="s">
        <v>39</v>
      </c>
      <c r="E22" s="17">
        <v>4481005</v>
      </c>
      <c r="F22" s="18">
        <f>F23+F24+F25</f>
        <v>5094678</v>
      </c>
      <c r="G22" s="19"/>
      <c r="H22" s="18">
        <f t="shared" si="0"/>
        <v>613673</v>
      </c>
      <c r="I22" s="110">
        <f t="shared" si="1"/>
        <v>1.1369498583465094</v>
      </c>
      <c r="K22" s="9"/>
      <c r="L22" s="9"/>
      <c r="M22" s="9"/>
      <c r="N22" s="9"/>
    </row>
    <row r="23" spans="1:18" ht="12" customHeight="1">
      <c r="A23" s="1"/>
      <c r="B23" s="1"/>
      <c r="C23" s="23" t="s">
        <v>19</v>
      </c>
      <c r="D23" s="34" t="s">
        <v>40</v>
      </c>
      <c r="E23" s="25">
        <v>400000</v>
      </c>
      <c r="F23" s="26">
        <v>150000</v>
      </c>
      <c r="G23" s="19"/>
      <c r="H23" s="26">
        <f t="shared" si="0"/>
        <v>-250000</v>
      </c>
      <c r="I23" s="111">
        <f t="shared" si="1"/>
        <v>0.375</v>
      </c>
      <c r="K23" s="9"/>
      <c r="L23" s="9"/>
      <c r="M23" s="9"/>
      <c r="N23" s="9"/>
    </row>
    <row r="24" spans="1:18" ht="24.75" customHeight="1">
      <c r="A24" s="1"/>
      <c r="B24" s="1"/>
      <c r="C24" s="23" t="s">
        <v>33</v>
      </c>
      <c r="D24" s="34" t="s">
        <v>41</v>
      </c>
      <c r="E24" s="25">
        <v>1094081</v>
      </c>
      <c r="F24" s="26">
        <v>1332000</v>
      </c>
      <c r="G24" s="19"/>
      <c r="H24" s="26">
        <f t="shared" si="0"/>
        <v>237919</v>
      </c>
      <c r="I24" s="111">
        <f t="shared" si="1"/>
        <v>1.2174601332076875</v>
      </c>
    </row>
    <row r="25" spans="1:18" ht="24" customHeight="1">
      <c r="A25" s="1"/>
      <c r="B25" s="1"/>
      <c r="C25" s="23" t="s">
        <v>42</v>
      </c>
      <c r="D25" s="35" t="s">
        <v>43</v>
      </c>
      <c r="E25" s="25">
        <v>2986924</v>
      </c>
      <c r="F25" s="26">
        <v>3612678</v>
      </c>
      <c r="G25" s="19"/>
      <c r="H25" s="26">
        <f t="shared" si="0"/>
        <v>625754</v>
      </c>
      <c r="I25" s="111">
        <f t="shared" si="1"/>
        <v>1.2094977977343917</v>
      </c>
    </row>
    <row r="26" spans="1:18" ht="20.100000000000001" customHeight="1">
      <c r="A26" s="1"/>
      <c r="B26" s="1"/>
      <c r="C26" s="36" t="s">
        <v>44</v>
      </c>
      <c r="D26" s="37" t="s">
        <v>45</v>
      </c>
      <c r="E26" s="38">
        <v>10000000</v>
      </c>
      <c r="F26" s="39">
        <f>F27+F28</f>
        <v>15823902</v>
      </c>
      <c r="G26" s="19"/>
      <c r="H26" s="18">
        <f t="shared" si="0"/>
        <v>5823902</v>
      </c>
      <c r="I26" s="110">
        <f t="shared" si="1"/>
        <v>1.5823902000000001</v>
      </c>
    </row>
    <row r="27" spans="1:18" s="43" customFormat="1" ht="33.75" customHeight="1">
      <c r="A27" s="1"/>
      <c r="B27" s="1"/>
      <c r="C27" s="40" t="s">
        <v>42</v>
      </c>
      <c r="D27" s="41" t="s">
        <v>228</v>
      </c>
      <c r="E27" s="42">
        <v>10000000</v>
      </c>
      <c r="F27" s="43">
        <v>15323902</v>
      </c>
      <c r="G27" s="19"/>
      <c r="H27" s="26">
        <f t="shared" si="0"/>
        <v>5323902</v>
      </c>
      <c r="I27" s="111">
        <f t="shared" si="1"/>
        <v>1.5323902</v>
      </c>
      <c r="J27"/>
      <c r="K27"/>
      <c r="L27"/>
      <c r="M27"/>
      <c r="N27"/>
      <c r="O27"/>
      <c r="P27"/>
      <c r="Q27"/>
    </row>
    <row r="28" spans="1:18" s="43" customFormat="1" ht="37.5" customHeight="1">
      <c r="A28" s="1"/>
      <c r="B28" s="1"/>
      <c r="C28" s="40" t="s">
        <v>42</v>
      </c>
      <c r="D28" s="41" t="s">
        <v>229</v>
      </c>
      <c r="E28" s="42"/>
      <c r="F28" s="43">
        <v>500000</v>
      </c>
      <c r="G28" s="19"/>
      <c r="H28" s="26">
        <f t="shared" si="0"/>
        <v>500000</v>
      </c>
      <c r="I28" s="111"/>
      <c r="J28"/>
      <c r="K28"/>
      <c r="L28"/>
      <c r="M28"/>
      <c r="N28"/>
      <c r="O28"/>
      <c r="P28"/>
      <c r="Q28"/>
    </row>
    <row r="29" spans="1:18" s="43" customFormat="1" ht="16.5" customHeight="1">
      <c r="A29" s="1"/>
      <c r="B29" s="1"/>
      <c r="C29" s="44" t="s">
        <v>46</v>
      </c>
      <c r="D29" s="45" t="s">
        <v>47</v>
      </c>
      <c r="E29" s="46">
        <v>2346000</v>
      </c>
      <c r="F29" s="47">
        <f>F30</f>
        <v>4500000</v>
      </c>
      <c r="G29" s="19"/>
      <c r="H29" s="18">
        <f t="shared" si="0"/>
        <v>2154000</v>
      </c>
      <c r="I29" s="110">
        <f t="shared" si="1"/>
        <v>1.918158567774936</v>
      </c>
      <c r="J29"/>
      <c r="K29"/>
      <c r="L29"/>
      <c r="M29"/>
      <c r="N29"/>
      <c r="O29"/>
      <c r="P29"/>
      <c r="Q29"/>
    </row>
    <row r="30" spans="1:18" s="43" customFormat="1" ht="37.5" customHeight="1">
      <c r="A30" s="1"/>
      <c r="B30" s="1"/>
      <c r="C30" s="48" t="s">
        <v>42</v>
      </c>
      <c r="D30" s="49" t="s">
        <v>48</v>
      </c>
      <c r="E30" s="50">
        <v>2346000</v>
      </c>
      <c r="F30" s="51">
        <v>4500000</v>
      </c>
      <c r="G30" s="19"/>
      <c r="H30" s="26">
        <f t="shared" si="0"/>
        <v>2154000</v>
      </c>
      <c r="I30" s="111">
        <f t="shared" si="1"/>
        <v>1.918158567774936</v>
      </c>
      <c r="J30"/>
      <c r="K30"/>
      <c r="L30"/>
      <c r="M30"/>
      <c r="N30"/>
      <c r="O30"/>
      <c r="P30"/>
      <c r="Q30"/>
    </row>
    <row r="31" spans="1:18" s="43" customFormat="1" ht="20.25" customHeight="1">
      <c r="A31" s="1"/>
      <c r="B31" s="1"/>
      <c r="C31" s="44">
        <v>212111</v>
      </c>
      <c r="D31" s="52" t="s">
        <v>49</v>
      </c>
      <c r="E31" s="50"/>
      <c r="F31" s="47">
        <f>F32</f>
        <v>390000</v>
      </c>
      <c r="G31" s="19"/>
      <c r="H31" s="18">
        <f t="shared" si="0"/>
        <v>390000</v>
      </c>
      <c r="I31" s="111"/>
      <c r="J31"/>
      <c r="K31"/>
      <c r="L31"/>
      <c r="M31"/>
      <c r="N31"/>
      <c r="O31"/>
      <c r="P31"/>
      <c r="Q31"/>
    </row>
    <row r="32" spans="1:18" s="43" customFormat="1" ht="27.75" customHeight="1">
      <c r="A32" s="1"/>
      <c r="B32" s="1"/>
      <c r="C32" s="48">
        <v>2610</v>
      </c>
      <c r="D32" s="41" t="s">
        <v>50</v>
      </c>
      <c r="E32" s="50"/>
      <c r="F32" s="51">
        <v>390000</v>
      </c>
      <c r="G32" s="19"/>
      <c r="H32" s="26">
        <f t="shared" si="0"/>
        <v>390000</v>
      </c>
      <c r="I32" s="111"/>
      <c r="J32"/>
      <c r="K32"/>
      <c r="L32"/>
      <c r="M32"/>
      <c r="N32"/>
      <c r="O32"/>
      <c r="P32"/>
      <c r="Q32"/>
    </row>
    <row r="33" spans="1:17" s="43" customFormat="1" ht="24.75" customHeight="1">
      <c r="A33" s="1"/>
      <c r="B33" s="1"/>
      <c r="C33" s="36">
        <v>212113</v>
      </c>
      <c r="D33" s="37" t="s">
        <v>51</v>
      </c>
      <c r="E33" s="38">
        <v>1646459.38</v>
      </c>
      <c r="F33" s="39">
        <f>F34</f>
        <v>3031930</v>
      </c>
      <c r="G33" s="19"/>
      <c r="H33" s="18">
        <f t="shared" si="0"/>
        <v>1385470.62</v>
      </c>
      <c r="I33" s="110">
        <f t="shared" si="1"/>
        <v>1.8414848473212866</v>
      </c>
      <c r="J33"/>
      <c r="K33"/>
      <c r="L33"/>
      <c r="M33"/>
      <c r="N33"/>
      <c r="O33"/>
      <c r="P33"/>
      <c r="Q33"/>
    </row>
    <row r="34" spans="1:17" s="43" customFormat="1" ht="22.5" customHeight="1">
      <c r="A34" s="1"/>
      <c r="B34" s="1"/>
      <c r="C34" s="40" t="s">
        <v>42</v>
      </c>
      <c r="D34" s="35" t="s">
        <v>43</v>
      </c>
      <c r="E34" s="42">
        <v>1646459.38</v>
      </c>
      <c r="F34" s="43">
        <v>3031930</v>
      </c>
      <c r="G34" s="19"/>
      <c r="H34" s="26">
        <f t="shared" si="0"/>
        <v>1385470.62</v>
      </c>
      <c r="I34" s="111">
        <f t="shared" si="1"/>
        <v>1.8414848473212866</v>
      </c>
      <c r="J34"/>
      <c r="K34"/>
      <c r="L34"/>
      <c r="M34"/>
      <c r="N34"/>
      <c r="O34"/>
      <c r="P34"/>
      <c r="Q34"/>
    </row>
    <row r="35" spans="1:17" s="43" customFormat="1" ht="15.75" customHeight="1">
      <c r="A35" s="1"/>
      <c r="B35" s="1"/>
      <c r="C35" s="36" t="s">
        <v>52</v>
      </c>
      <c r="D35" s="37" t="s">
        <v>53</v>
      </c>
      <c r="E35" s="38">
        <v>15285698</v>
      </c>
      <c r="F35" s="39">
        <f>F36</f>
        <v>5855145</v>
      </c>
      <c r="G35" s="19"/>
      <c r="H35" s="18">
        <f t="shared" si="0"/>
        <v>-9430553</v>
      </c>
      <c r="I35" s="110">
        <f t="shared" si="1"/>
        <v>0.38304727726532345</v>
      </c>
      <c r="J35"/>
      <c r="K35"/>
      <c r="L35"/>
      <c r="M35"/>
      <c r="N35"/>
      <c r="O35"/>
      <c r="P35"/>
      <c r="Q35"/>
    </row>
    <row r="36" spans="1:17" s="43" customFormat="1" ht="35.25" customHeight="1">
      <c r="A36" s="1"/>
      <c r="B36" s="1"/>
      <c r="C36" s="40" t="s">
        <v>42</v>
      </c>
      <c r="D36" s="41" t="s">
        <v>54</v>
      </c>
      <c r="E36" s="42">
        <v>15285698</v>
      </c>
      <c r="F36" s="43">
        <f>2355145+3500000</f>
        <v>5855145</v>
      </c>
      <c r="G36" s="19"/>
      <c r="H36" s="26">
        <f t="shared" si="0"/>
        <v>-9430553</v>
      </c>
      <c r="I36" s="111">
        <f t="shared" si="1"/>
        <v>0.38304727726532345</v>
      </c>
      <c r="J36"/>
      <c r="K36"/>
      <c r="L36"/>
      <c r="M36"/>
      <c r="N36"/>
      <c r="O36"/>
      <c r="P36"/>
      <c r="Q36"/>
    </row>
    <row r="37" spans="1:17" s="43" customFormat="1" ht="35.25" customHeight="1">
      <c r="A37" s="1"/>
      <c r="B37" s="1"/>
      <c r="C37" s="15" t="s">
        <v>225</v>
      </c>
      <c r="D37" s="117" t="s">
        <v>226</v>
      </c>
      <c r="E37" s="17">
        <v>3822080</v>
      </c>
      <c r="F37" s="17">
        <f>F38</f>
        <v>1360600</v>
      </c>
      <c r="G37" s="19"/>
      <c r="H37" s="26">
        <f t="shared" si="0"/>
        <v>-2461480</v>
      </c>
      <c r="I37" s="111">
        <f t="shared" si="1"/>
        <v>0.35598417615539185</v>
      </c>
      <c r="J37"/>
      <c r="K37"/>
      <c r="L37"/>
      <c r="M37"/>
      <c r="N37"/>
      <c r="O37"/>
      <c r="P37"/>
      <c r="Q37"/>
    </row>
    <row r="38" spans="1:17" s="43" customFormat="1" ht="35.25" customHeight="1">
      <c r="A38" s="1"/>
      <c r="B38" s="1"/>
      <c r="C38" s="23" t="s">
        <v>42</v>
      </c>
      <c r="D38" s="56" t="s">
        <v>137</v>
      </c>
      <c r="E38" s="25">
        <v>3822080</v>
      </c>
      <c r="F38" s="43">
        <v>1360600</v>
      </c>
      <c r="G38" s="19"/>
      <c r="H38" s="26">
        <f t="shared" si="0"/>
        <v>-2461480</v>
      </c>
      <c r="I38" s="111">
        <f t="shared" si="1"/>
        <v>0.35598417615539185</v>
      </c>
      <c r="J38"/>
      <c r="K38"/>
      <c r="L38"/>
      <c r="M38"/>
      <c r="N38"/>
      <c r="O38"/>
      <c r="P38"/>
      <c r="Q38"/>
    </row>
    <row r="39" spans="1:17" s="43" customFormat="1" ht="24" customHeight="1">
      <c r="A39" s="1"/>
      <c r="B39" s="1"/>
      <c r="C39" s="15" t="s">
        <v>55</v>
      </c>
      <c r="D39" s="16" t="s">
        <v>56</v>
      </c>
      <c r="E39" s="17">
        <v>695652</v>
      </c>
      <c r="F39" s="39">
        <f>F40+F41</f>
        <v>1465000</v>
      </c>
      <c r="G39" s="19"/>
      <c r="H39" s="18">
        <f t="shared" si="0"/>
        <v>769348</v>
      </c>
      <c r="I39" s="110">
        <f t="shared" si="1"/>
        <v>2.1059380264845067</v>
      </c>
      <c r="J39"/>
      <c r="K39"/>
      <c r="L39"/>
      <c r="M39"/>
      <c r="N39"/>
      <c r="O39"/>
      <c r="P39"/>
      <c r="Q39"/>
    </row>
    <row r="40" spans="1:17" s="43" customFormat="1" ht="24" customHeight="1">
      <c r="A40" s="1"/>
      <c r="B40" s="1"/>
      <c r="C40" s="23" t="s">
        <v>42</v>
      </c>
      <c r="D40" s="35" t="s">
        <v>43</v>
      </c>
      <c r="E40" s="25">
        <v>695652</v>
      </c>
      <c r="F40" s="43">
        <v>1375000</v>
      </c>
      <c r="G40" s="19"/>
      <c r="H40" s="26">
        <f t="shared" si="0"/>
        <v>679348</v>
      </c>
      <c r="I40" s="111">
        <f t="shared" si="1"/>
        <v>1.9765629941407485</v>
      </c>
      <c r="J40"/>
      <c r="K40"/>
      <c r="L40"/>
      <c r="M40"/>
      <c r="N40"/>
      <c r="O40"/>
      <c r="P40"/>
      <c r="Q40"/>
    </row>
    <row r="41" spans="1:17" s="43" customFormat="1" ht="24" customHeight="1">
      <c r="A41" s="1"/>
      <c r="B41" s="1"/>
      <c r="C41" s="31">
        <v>3210</v>
      </c>
      <c r="D41" s="53" t="s">
        <v>57</v>
      </c>
      <c r="E41" s="54">
        <v>24000</v>
      </c>
      <c r="F41" s="43">
        <v>90000</v>
      </c>
      <c r="G41" s="19"/>
      <c r="H41" s="26">
        <f t="shared" si="0"/>
        <v>66000</v>
      </c>
      <c r="I41" s="111">
        <f t="shared" si="1"/>
        <v>3.75</v>
      </c>
      <c r="J41"/>
      <c r="K41"/>
      <c r="L41"/>
      <c r="M41"/>
      <c r="N41"/>
      <c r="O41"/>
      <c r="P41"/>
      <c r="Q41"/>
    </row>
    <row r="42" spans="1:17" s="43" customFormat="1" ht="29.1" customHeight="1">
      <c r="A42" s="1"/>
      <c r="B42" s="1"/>
      <c r="C42" s="15" t="s">
        <v>58</v>
      </c>
      <c r="D42" s="16" t="s">
        <v>59</v>
      </c>
      <c r="E42" s="17">
        <v>4265760.9000000004</v>
      </c>
      <c r="F42" s="18">
        <f>F43</f>
        <v>4513940</v>
      </c>
      <c r="G42" s="19"/>
      <c r="H42" s="18">
        <f t="shared" si="0"/>
        <v>248179.09999999963</v>
      </c>
      <c r="I42" s="110">
        <f t="shared" si="1"/>
        <v>1.0581793273973701</v>
      </c>
      <c r="J42"/>
      <c r="K42"/>
      <c r="L42"/>
      <c r="M42"/>
      <c r="N42"/>
      <c r="O42"/>
      <c r="P42"/>
      <c r="Q42"/>
    </row>
    <row r="43" spans="1:17" s="43" customFormat="1" ht="22.5" customHeight="1">
      <c r="A43" s="1"/>
      <c r="B43" s="1"/>
      <c r="C43" s="23" t="s">
        <v>42</v>
      </c>
      <c r="D43" s="35" t="s">
        <v>43</v>
      </c>
      <c r="E43" s="25">
        <v>4265760.9000000004</v>
      </c>
      <c r="F43" s="26">
        <v>4513940</v>
      </c>
      <c r="G43" s="19"/>
      <c r="H43" s="26">
        <f t="shared" si="0"/>
        <v>248179.09999999963</v>
      </c>
      <c r="I43" s="111">
        <f t="shared" si="1"/>
        <v>1.0581793273973701</v>
      </c>
      <c r="J43"/>
      <c r="K43"/>
      <c r="L43"/>
      <c r="M43"/>
      <c r="N43"/>
      <c r="O43"/>
      <c r="P43"/>
      <c r="Q43"/>
    </row>
    <row r="44" spans="1:17" s="43" customFormat="1" ht="20.100000000000001" customHeight="1">
      <c r="A44" s="1"/>
      <c r="B44" s="1"/>
      <c r="C44" s="15" t="s">
        <v>60</v>
      </c>
      <c r="D44" s="16" t="s">
        <v>61</v>
      </c>
      <c r="E44" s="17">
        <v>47133047.32</v>
      </c>
      <c r="F44" s="18">
        <f>F46+F45+F47+F48</f>
        <v>51072085</v>
      </c>
      <c r="G44" s="19"/>
      <c r="H44" s="18">
        <f t="shared" si="0"/>
        <v>3939037.6799999997</v>
      </c>
      <c r="I44" s="110">
        <f t="shared" si="1"/>
        <v>1.0835727351396722</v>
      </c>
      <c r="J44"/>
      <c r="K44"/>
      <c r="L44"/>
      <c r="M44"/>
      <c r="N44"/>
      <c r="O44"/>
      <c r="P44"/>
      <c r="Q44"/>
    </row>
    <row r="45" spans="1:17" s="43" customFormat="1" ht="15.75" hidden="1" customHeight="1">
      <c r="A45" s="1"/>
      <c r="B45" s="1"/>
      <c r="C45" s="23" t="s">
        <v>27</v>
      </c>
      <c r="D45" s="24" t="s">
        <v>62</v>
      </c>
      <c r="E45" s="25">
        <v>8798211</v>
      </c>
      <c r="F45" s="26">
        <v>12187968</v>
      </c>
      <c r="G45" s="19"/>
      <c r="H45" s="18">
        <f t="shared" si="0"/>
        <v>3389757</v>
      </c>
      <c r="I45" s="110">
        <f t="shared" si="1"/>
        <v>1.3852779843538647</v>
      </c>
      <c r="J45"/>
      <c r="K45"/>
      <c r="L45"/>
      <c r="M45"/>
      <c r="N45"/>
      <c r="O45"/>
      <c r="P45"/>
      <c r="Q45"/>
    </row>
    <row r="46" spans="1:17" s="43" customFormat="1" ht="24" hidden="1" customHeight="1">
      <c r="A46" s="1"/>
      <c r="B46" s="1"/>
      <c r="C46" s="23" t="s">
        <v>42</v>
      </c>
      <c r="D46" s="35" t="s">
        <v>43</v>
      </c>
      <c r="E46" s="25">
        <v>1298638</v>
      </c>
      <c r="F46" s="26">
        <v>2074117</v>
      </c>
      <c r="G46" s="19"/>
      <c r="H46" s="18">
        <f t="shared" si="0"/>
        <v>775479</v>
      </c>
      <c r="I46" s="110">
        <f t="shared" si="1"/>
        <v>1.5971479349903515</v>
      </c>
      <c r="J46"/>
      <c r="K46"/>
      <c r="L46"/>
      <c r="M46"/>
      <c r="N46"/>
      <c r="O46"/>
      <c r="P46"/>
      <c r="Q46"/>
    </row>
    <row r="47" spans="1:17" s="43" customFormat="1" ht="14.25" hidden="1" customHeight="1">
      <c r="A47" s="1"/>
      <c r="B47" s="1"/>
      <c r="C47" s="23" t="s">
        <v>42</v>
      </c>
      <c r="D47" s="24" t="s">
        <v>63</v>
      </c>
      <c r="E47" s="25">
        <v>5480000</v>
      </c>
      <c r="F47" s="26">
        <v>8200000</v>
      </c>
      <c r="G47" s="19"/>
      <c r="H47" s="18">
        <f t="shared" si="0"/>
        <v>2720000</v>
      </c>
      <c r="I47" s="110">
        <f t="shared" si="1"/>
        <v>1.4963503649635037</v>
      </c>
      <c r="J47"/>
      <c r="K47"/>
      <c r="L47"/>
      <c r="M47"/>
      <c r="N47"/>
      <c r="O47"/>
      <c r="P47"/>
      <c r="Q47"/>
    </row>
    <row r="48" spans="1:17" s="43" customFormat="1" ht="80.25" hidden="1" customHeight="1">
      <c r="A48" s="1"/>
      <c r="B48" s="1"/>
      <c r="C48" s="23" t="s">
        <v>42</v>
      </c>
      <c r="D48" s="34" t="s">
        <v>64</v>
      </c>
      <c r="E48" s="25">
        <v>31250001</v>
      </c>
      <c r="F48" s="26">
        <v>28610000</v>
      </c>
      <c r="G48" s="19"/>
      <c r="H48" s="18">
        <f t="shared" si="0"/>
        <v>-2640001</v>
      </c>
      <c r="I48" s="110">
        <f t="shared" si="1"/>
        <v>0.91551997070336089</v>
      </c>
      <c r="J48"/>
      <c r="K48"/>
      <c r="L48"/>
      <c r="M48"/>
      <c r="N48"/>
      <c r="O48"/>
      <c r="P48"/>
      <c r="Q48"/>
    </row>
    <row r="49" spans="1:17" s="43" customFormat="1" ht="22.5" customHeight="1">
      <c r="A49" s="1"/>
      <c r="B49" s="1"/>
      <c r="C49" s="15" t="s">
        <v>65</v>
      </c>
      <c r="D49" s="16" t="s">
        <v>66</v>
      </c>
      <c r="E49" s="17">
        <v>17955850</v>
      </c>
      <c r="F49" s="18">
        <f>F50+F51</f>
        <v>13000000</v>
      </c>
      <c r="G49" s="19"/>
      <c r="H49" s="18">
        <f t="shared" si="0"/>
        <v>-4955850</v>
      </c>
      <c r="I49" s="110">
        <f t="shared" si="1"/>
        <v>0.72399802849767625</v>
      </c>
      <c r="J49"/>
      <c r="K49"/>
      <c r="L49"/>
      <c r="M49"/>
      <c r="N49"/>
      <c r="O49"/>
      <c r="P49"/>
      <c r="Q49"/>
    </row>
    <row r="50" spans="1:17" s="43" customFormat="1" ht="21.75" hidden="1" customHeight="1">
      <c r="A50" s="1"/>
      <c r="B50" s="1"/>
      <c r="C50" s="23" t="s">
        <v>42</v>
      </c>
      <c r="D50" s="34" t="s">
        <v>67</v>
      </c>
      <c r="E50" s="25">
        <v>17955850</v>
      </c>
      <c r="F50" s="26">
        <v>5000000</v>
      </c>
      <c r="G50" s="19"/>
      <c r="H50" s="18">
        <f t="shared" si="0"/>
        <v>-12955850</v>
      </c>
      <c r="I50" s="110">
        <f t="shared" si="1"/>
        <v>0.27846078019141396</v>
      </c>
      <c r="J50"/>
      <c r="K50"/>
      <c r="L50"/>
      <c r="M50"/>
      <c r="N50"/>
      <c r="O50"/>
      <c r="P50"/>
      <c r="Q50"/>
    </row>
    <row r="51" spans="1:17" s="43" customFormat="1" ht="24.75" hidden="1" customHeight="1">
      <c r="A51" s="1"/>
      <c r="B51" s="1"/>
      <c r="C51" s="23" t="s">
        <v>42</v>
      </c>
      <c r="D51" s="24" t="s">
        <v>68</v>
      </c>
      <c r="E51" s="25"/>
      <c r="F51" s="26">
        <v>8000000</v>
      </c>
      <c r="G51" s="19"/>
      <c r="H51" s="18">
        <f t="shared" si="0"/>
        <v>8000000</v>
      </c>
      <c r="I51" s="110"/>
      <c r="J51"/>
      <c r="K51"/>
      <c r="L51"/>
      <c r="M51"/>
      <c r="N51"/>
      <c r="O51"/>
      <c r="P51"/>
      <c r="Q51"/>
    </row>
    <row r="52" spans="1:17" s="43" customFormat="1" ht="15.75" customHeight="1">
      <c r="A52" s="1"/>
      <c r="B52" s="1"/>
      <c r="C52" s="15" t="s">
        <v>69</v>
      </c>
      <c r="D52" s="16" t="s">
        <v>70</v>
      </c>
      <c r="E52" s="17">
        <v>500000</v>
      </c>
      <c r="F52" s="18">
        <f>F53+F54+F55</f>
        <v>1100000</v>
      </c>
      <c r="G52" s="19"/>
      <c r="H52" s="18">
        <f t="shared" si="0"/>
        <v>600000</v>
      </c>
      <c r="I52" s="110">
        <f t="shared" si="1"/>
        <v>2.2000000000000002</v>
      </c>
      <c r="J52"/>
      <c r="K52"/>
      <c r="L52"/>
      <c r="M52"/>
      <c r="N52"/>
      <c r="O52"/>
      <c r="P52"/>
      <c r="Q52"/>
    </row>
    <row r="53" spans="1:17" s="43" customFormat="1" ht="12" hidden="1" customHeight="1">
      <c r="A53" s="1"/>
      <c r="B53" s="1"/>
      <c r="C53" s="23" t="s">
        <v>19</v>
      </c>
      <c r="D53" s="24" t="s">
        <v>20</v>
      </c>
      <c r="E53" s="25">
        <v>500000</v>
      </c>
      <c r="F53" s="26">
        <v>500000</v>
      </c>
      <c r="G53" s="19"/>
      <c r="H53" s="26">
        <f t="shared" si="0"/>
        <v>0</v>
      </c>
      <c r="I53" s="111">
        <f t="shared" si="1"/>
        <v>1</v>
      </c>
      <c r="J53"/>
      <c r="K53"/>
      <c r="L53"/>
      <c r="M53"/>
      <c r="N53"/>
      <c r="O53"/>
      <c r="P53"/>
      <c r="Q53"/>
    </row>
    <row r="54" spans="1:17" s="43" customFormat="1" ht="15" hidden="1" customHeight="1">
      <c r="A54" s="1"/>
      <c r="B54" s="1"/>
      <c r="C54" s="55">
        <v>2281</v>
      </c>
      <c r="D54" s="56" t="s">
        <v>71</v>
      </c>
      <c r="E54" s="57">
        <v>500000</v>
      </c>
      <c r="F54" s="58">
        <v>500000</v>
      </c>
      <c r="G54" s="19"/>
      <c r="H54" s="26">
        <f t="shared" si="0"/>
        <v>0</v>
      </c>
      <c r="I54" s="111">
        <f t="shared" si="1"/>
        <v>1</v>
      </c>
      <c r="J54"/>
      <c r="K54"/>
      <c r="L54"/>
      <c r="M54"/>
      <c r="N54"/>
      <c r="O54"/>
      <c r="P54"/>
      <c r="Q54"/>
    </row>
    <row r="55" spans="1:17" s="43" customFormat="1" ht="37.5" hidden="1" customHeight="1">
      <c r="A55" s="1"/>
      <c r="B55" s="1"/>
      <c r="C55" s="55">
        <v>2240</v>
      </c>
      <c r="D55" s="24" t="s">
        <v>20</v>
      </c>
      <c r="E55" s="57">
        <v>800000</v>
      </c>
      <c r="F55" s="58">
        <v>100000</v>
      </c>
      <c r="G55" s="19"/>
      <c r="H55" s="26">
        <f t="shared" si="0"/>
        <v>-700000</v>
      </c>
      <c r="I55" s="111">
        <f t="shared" si="1"/>
        <v>0.125</v>
      </c>
      <c r="J55"/>
      <c r="K55"/>
      <c r="L55"/>
      <c r="M55"/>
      <c r="N55"/>
      <c r="O55"/>
      <c r="P55"/>
      <c r="Q55"/>
    </row>
    <row r="56" spans="1:17" s="43" customFormat="1" ht="15" customHeight="1">
      <c r="A56" s="1"/>
      <c r="B56" s="1"/>
      <c r="C56" s="15" t="s">
        <v>72</v>
      </c>
      <c r="D56" s="16" t="s">
        <v>73</v>
      </c>
      <c r="E56" s="54">
        <f>E57</f>
        <v>5352000</v>
      </c>
      <c r="F56" s="18">
        <f>F57</f>
        <v>5045000</v>
      </c>
      <c r="G56" s="19"/>
      <c r="H56" s="18">
        <f t="shared" si="0"/>
        <v>-307000</v>
      </c>
      <c r="I56" s="110">
        <f t="shared" si="1"/>
        <v>0.94263826606875933</v>
      </c>
      <c r="J56"/>
      <c r="K56"/>
      <c r="L56"/>
      <c r="M56"/>
      <c r="N56"/>
      <c r="O56"/>
      <c r="P56"/>
      <c r="Q56"/>
    </row>
    <row r="57" spans="1:17" s="43" customFormat="1" ht="45.75" customHeight="1">
      <c r="A57" s="1"/>
      <c r="B57" s="1"/>
      <c r="C57" s="23" t="s">
        <v>74</v>
      </c>
      <c r="D57" s="34" t="s">
        <v>75</v>
      </c>
      <c r="E57" s="54">
        <v>5352000</v>
      </c>
      <c r="F57" s="26">
        <f>5045000</f>
        <v>5045000</v>
      </c>
      <c r="G57" s="19"/>
      <c r="H57" s="26">
        <f t="shared" si="0"/>
        <v>-307000</v>
      </c>
      <c r="I57" s="111">
        <f t="shared" si="1"/>
        <v>0.94263826606875933</v>
      </c>
      <c r="J57"/>
      <c r="K57"/>
      <c r="L57"/>
      <c r="M57"/>
      <c r="N57"/>
      <c r="O57"/>
      <c r="P57"/>
      <c r="Q57"/>
    </row>
    <row r="58" spans="1:17" s="43" customFormat="1" ht="23.25" customHeight="1">
      <c r="A58" s="1"/>
      <c r="B58" s="1"/>
      <c r="C58" s="15" t="s">
        <v>76</v>
      </c>
      <c r="D58" s="16" t="s">
        <v>77</v>
      </c>
      <c r="E58" s="54">
        <f>E59</f>
        <v>402164</v>
      </c>
      <c r="F58" s="18">
        <f>F59</f>
        <v>4000000</v>
      </c>
      <c r="G58" s="19"/>
      <c r="H58" s="18">
        <f t="shared" si="0"/>
        <v>3597836</v>
      </c>
      <c r="I58" s="110">
        <f t="shared" si="1"/>
        <v>9.9461911061159132</v>
      </c>
      <c r="J58"/>
      <c r="K58"/>
      <c r="L58"/>
      <c r="M58"/>
      <c r="N58"/>
      <c r="O58"/>
      <c r="P58"/>
      <c r="Q58"/>
    </row>
    <row r="59" spans="1:17" s="43" customFormat="1" ht="26.25" customHeight="1">
      <c r="A59" s="1"/>
      <c r="B59" s="1"/>
      <c r="C59" s="23" t="s">
        <v>78</v>
      </c>
      <c r="D59" s="56" t="s">
        <v>71</v>
      </c>
      <c r="E59" s="54">
        <v>402164</v>
      </c>
      <c r="F59" s="26">
        <v>4000000</v>
      </c>
      <c r="G59" s="19"/>
      <c r="H59" s="26">
        <f t="shared" si="0"/>
        <v>3597836</v>
      </c>
      <c r="I59" s="111">
        <f t="shared" si="1"/>
        <v>9.9461911061159132</v>
      </c>
      <c r="J59"/>
      <c r="K59"/>
      <c r="L59"/>
      <c r="M59"/>
      <c r="N59"/>
      <c r="O59"/>
      <c r="P59"/>
      <c r="Q59"/>
    </row>
    <row r="60" spans="1:17" s="43" customFormat="1" ht="17.25" customHeight="1">
      <c r="A60" s="1"/>
      <c r="B60" s="1"/>
      <c r="C60" s="15" t="s">
        <v>79</v>
      </c>
      <c r="D60" s="16" t="s">
        <v>80</v>
      </c>
      <c r="E60" s="17">
        <v>4290000</v>
      </c>
      <c r="F60" s="18">
        <f>F61+F62</f>
        <v>6158383</v>
      </c>
      <c r="G60" s="19"/>
      <c r="H60" s="18">
        <f t="shared" si="0"/>
        <v>1868383</v>
      </c>
      <c r="I60" s="110">
        <f t="shared" si="1"/>
        <v>1.4355205128205129</v>
      </c>
      <c r="J60"/>
      <c r="K60"/>
      <c r="L60"/>
      <c r="M60"/>
      <c r="N60"/>
      <c r="O60"/>
      <c r="P60"/>
      <c r="Q60"/>
    </row>
    <row r="61" spans="1:17" s="43" customFormat="1" ht="21.75" customHeight="1">
      <c r="A61" s="1"/>
      <c r="B61" s="1"/>
      <c r="C61" s="23" t="s">
        <v>42</v>
      </c>
      <c r="D61" s="56" t="s">
        <v>81</v>
      </c>
      <c r="E61" s="25">
        <v>4290000</v>
      </c>
      <c r="F61" s="26">
        <v>3625063</v>
      </c>
      <c r="G61" s="19"/>
      <c r="H61" s="26">
        <f t="shared" si="0"/>
        <v>-664937</v>
      </c>
      <c r="I61" s="111">
        <f t="shared" si="1"/>
        <v>0.84500303030303026</v>
      </c>
      <c r="J61"/>
      <c r="K61"/>
      <c r="L61"/>
      <c r="M61"/>
      <c r="N61"/>
      <c r="O61"/>
      <c r="P61"/>
      <c r="Q61"/>
    </row>
    <row r="62" spans="1:17" s="43" customFormat="1" ht="24" customHeight="1">
      <c r="A62" s="1"/>
      <c r="B62" s="1"/>
      <c r="C62" s="23">
        <v>3210</v>
      </c>
      <c r="D62" s="24" t="s">
        <v>82</v>
      </c>
      <c r="E62" s="54">
        <v>2544011</v>
      </c>
      <c r="F62" s="26">
        <v>2533320</v>
      </c>
      <c r="G62" s="19"/>
      <c r="H62" s="26">
        <f t="shared" si="0"/>
        <v>-10691</v>
      </c>
      <c r="I62" s="111">
        <f t="shared" si="1"/>
        <v>0.99579758106391836</v>
      </c>
      <c r="J62"/>
      <c r="K62"/>
      <c r="L62"/>
      <c r="M62"/>
      <c r="N62"/>
      <c r="O62"/>
      <c r="P62"/>
      <c r="Q62"/>
    </row>
    <row r="63" spans="1:17" s="43" customFormat="1" ht="15.75" hidden="1" customHeight="1">
      <c r="A63" s="1"/>
      <c r="B63" s="1"/>
      <c r="C63" s="15">
        <v>217610</v>
      </c>
      <c r="D63" s="16" t="s">
        <v>83</v>
      </c>
      <c r="E63" s="25"/>
      <c r="F63" s="39">
        <f>F64</f>
        <v>0</v>
      </c>
      <c r="G63" s="19"/>
      <c r="H63" s="26">
        <f t="shared" si="0"/>
        <v>0</v>
      </c>
      <c r="I63" s="111"/>
      <c r="J63"/>
      <c r="K63"/>
      <c r="L63"/>
      <c r="M63"/>
      <c r="N63"/>
      <c r="O63"/>
      <c r="P63"/>
      <c r="Q63"/>
    </row>
    <row r="64" spans="1:17" s="43" customFormat="1" ht="20.100000000000001" hidden="1" customHeight="1">
      <c r="A64" s="1"/>
      <c r="B64" s="1"/>
      <c r="C64" s="23">
        <v>2282</v>
      </c>
      <c r="D64" s="34" t="s">
        <v>84</v>
      </c>
      <c r="E64" s="25"/>
      <c r="F64" s="43">
        <v>0</v>
      </c>
      <c r="G64" s="19"/>
      <c r="H64" s="26">
        <f t="shared" si="0"/>
        <v>0</v>
      </c>
      <c r="I64" s="111"/>
      <c r="J64"/>
      <c r="K64"/>
      <c r="L64"/>
      <c r="M64"/>
      <c r="N64"/>
      <c r="O64"/>
      <c r="P64"/>
      <c r="Q64"/>
    </row>
    <row r="65" spans="1:17" s="43" customFormat="1" ht="17.25" customHeight="1">
      <c r="A65" s="1"/>
      <c r="B65" s="1"/>
      <c r="C65" s="15" t="s">
        <v>85</v>
      </c>
      <c r="D65" s="16" t="s">
        <v>86</v>
      </c>
      <c r="E65" s="25"/>
      <c r="F65" s="18">
        <f>F66+F67</f>
        <v>5257410</v>
      </c>
      <c r="G65" s="19"/>
      <c r="H65" s="18">
        <f t="shared" si="0"/>
        <v>5257410</v>
      </c>
      <c r="I65" s="111"/>
      <c r="J65"/>
      <c r="K65"/>
      <c r="L65"/>
      <c r="M65"/>
      <c r="N65"/>
      <c r="O65"/>
      <c r="P65"/>
      <c r="Q65"/>
    </row>
    <row r="66" spans="1:17" s="43" customFormat="1" ht="44.25" hidden="1" customHeight="1">
      <c r="A66" s="1"/>
      <c r="B66" s="1"/>
      <c r="C66" s="23" t="s">
        <v>74</v>
      </c>
      <c r="D66" s="24" t="s">
        <v>87</v>
      </c>
      <c r="E66" s="25"/>
      <c r="F66" s="26">
        <v>1557410</v>
      </c>
      <c r="G66" s="19"/>
      <c r="H66" s="26">
        <f t="shared" si="0"/>
        <v>1557410</v>
      </c>
      <c r="I66" s="111"/>
      <c r="J66"/>
      <c r="K66"/>
      <c r="L66"/>
      <c r="M66"/>
      <c r="N66"/>
      <c r="O66"/>
      <c r="P66"/>
      <c r="Q66"/>
    </row>
    <row r="67" spans="1:17" s="43" customFormat="1" ht="44.25" hidden="1" customHeight="1">
      <c r="A67" s="1"/>
      <c r="B67" s="1"/>
      <c r="C67" s="23">
        <v>3210</v>
      </c>
      <c r="D67" s="59" t="s">
        <v>88</v>
      </c>
      <c r="E67" s="54">
        <v>3041365</v>
      </c>
      <c r="F67" s="26">
        <v>3700000</v>
      </c>
      <c r="G67" s="19"/>
      <c r="H67" s="26">
        <f t="shared" si="0"/>
        <v>658635</v>
      </c>
      <c r="I67" s="111">
        <f t="shared" si="1"/>
        <v>1.2165590121540821</v>
      </c>
      <c r="J67"/>
      <c r="K67"/>
      <c r="L67"/>
      <c r="M67"/>
      <c r="N67"/>
      <c r="O67"/>
      <c r="P67"/>
      <c r="Q67"/>
    </row>
    <row r="68" spans="1:17" s="43" customFormat="1" ht="12.75" customHeight="1">
      <c r="A68" s="1"/>
      <c r="B68" s="1"/>
      <c r="C68" s="15" t="s">
        <v>89</v>
      </c>
      <c r="D68" s="16" t="s">
        <v>90</v>
      </c>
      <c r="E68" s="17">
        <v>70877</v>
      </c>
      <c r="F68" s="18">
        <f>F69</f>
        <v>135320</v>
      </c>
      <c r="G68" s="19"/>
      <c r="H68" s="18">
        <f t="shared" si="0"/>
        <v>64443</v>
      </c>
      <c r="I68" s="110">
        <f t="shared" si="1"/>
        <v>1.9092230201616887</v>
      </c>
      <c r="J68"/>
      <c r="K68"/>
      <c r="L68"/>
      <c r="M68"/>
      <c r="N68"/>
      <c r="O68"/>
      <c r="P68"/>
      <c r="Q68"/>
    </row>
    <row r="69" spans="1:17" s="43" customFormat="1" ht="12" customHeight="1">
      <c r="A69" s="1"/>
      <c r="B69" s="1"/>
      <c r="C69" s="23" t="s">
        <v>35</v>
      </c>
      <c r="D69" s="34" t="s">
        <v>91</v>
      </c>
      <c r="E69" s="25">
        <v>70877</v>
      </c>
      <c r="F69" s="26">
        <v>135320</v>
      </c>
      <c r="G69" s="19"/>
      <c r="H69" s="26">
        <f t="shared" si="0"/>
        <v>64443</v>
      </c>
      <c r="I69" s="111">
        <f t="shared" si="1"/>
        <v>1.9092230201616887</v>
      </c>
      <c r="J69"/>
      <c r="K69"/>
      <c r="L69"/>
      <c r="M69"/>
      <c r="N69"/>
      <c r="O69"/>
      <c r="P69"/>
      <c r="Q69"/>
    </row>
    <row r="70" spans="1:17" s="19" customFormat="1" ht="16.5" customHeight="1">
      <c r="A70" s="1"/>
      <c r="B70" s="1"/>
      <c r="C70" s="15" t="s">
        <v>92</v>
      </c>
      <c r="D70" s="16" t="s">
        <v>93</v>
      </c>
      <c r="E70" s="17">
        <v>80000</v>
      </c>
      <c r="F70" s="18">
        <f>F71</f>
        <v>90000</v>
      </c>
      <c r="H70" s="18">
        <f t="shared" si="0"/>
        <v>10000</v>
      </c>
      <c r="I70" s="110">
        <f t="shared" si="1"/>
        <v>1.125</v>
      </c>
      <c r="J70"/>
      <c r="K70"/>
      <c r="L70"/>
      <c r="M70"/>
      <c r="N70"/>
      <c r="O70"/>
      <c r="P70"/>
      <c r="Q70"/>
    </row>
    <row r="71" spans="1:17" s="19" customFormat="1" ht="25.5" customHeight="1">
      <c r="A71" s="1"/>
      <c r="B71" s="1"/>
      <c r="C71" s="23" t="s">
        <v>19</v>
      </c>
      <c r="D71" s="60" t="s">
        <v>94</v>
      </c>
      <c r="E71" s="25">
        <v>80000</v>
      </c>
      <c r="F71" s="26">
        <v>90000</v>
      </c>
      <c r="H71" s="26">
        <f t="shared" si="0"/>
        <v>10000</v>
      </c>
      <c r="I71" s="111">
        <f t="shared" si="1"/>
        <v>1.125</v>
      </c>
      <c r="J71"/>
      <c r="K71"/>
      <c r="L71"/>
      <c r="M71"/>
      <c r="N71"/>
      <c r="O71"/>
      <c r="P71"/>
      <c r="Q71"/>
    </row>
    <row r="72" spans="1:17" s="19" customFormat="1" ht="14.25" customHeight="1">
      <c r="A72" s="1"/>
      <c r="B72" s="61"/>
      <c r="C72" s="15" t="s">
        <v>95</v>
      </c>
      <c r="D72" s="16" t="s">
        <v>96</v>
      </c>
      <c r="E72" s="17">
        <v>1602100</v>
      </c>
      <c r="F72" s="18">
        <f>F73</f>
        <v>4000000</v>
      </c>
      <c r="H72" s="18">
        <f t="shared" si="0"/>
        <v>2397900</v>
      </c>
      <c r="I72" s="110">
        <f t="shared" si="1"/>
        <v>2.4967230509955685</v>
      </c>
      <c r="J72"/>
      <c r="K72"/>
      <c r="L72"/>
      <c r="M72"/>
      <c r="N72"/>
      <c r="O72"/>
      <c r="P72"/>
      <c r="Q72"/>
    </row>
    <row r="73" spans="1:17" s="19" customFormat="1" ht="23.25" customHeight="1">
      <c r="A73" s="1"/>
      <c r="B73" s="1"/>
      <c r="C73" s="23" t="s">
        <v>42</v>
      </c>
      <c r="D73" s="34" t="s">
        <v>97</v>
      </c>
      <c r="E73" s="25">
        <v>366000</v>
      </c>
      <c r="F73" s="43">
        <v>4000000</v>
      </c>
      <c r="H73" s="26">
        <f t="shared" si="0"/>
        <v>3634000</v>
      </c>
      <c r="I73" s="111"/>
      <c r="J73"/>
      <c r="K73"/>
      <c r="L73"/>
      <c r="M73"/>
      <c r="N73"/>
      <c r="O73"/>
      <c r="P73"/>
      <c r="Q73"/>
    </row>
    <row r="74" spans="1:17" s="19" customFormat="1" ht="33.75" customHeight="1">
      <c r="A74" s="1"/>
      <c r="B74" s="1"/>
      <c r="C74" s="15" t="s">
        <v>98</v>
      </c>
      <c r="D74" s="16" t="s">
        <v>99</v>
      </c>
      <c r="E74" s="17">
        <v>2000000</v>
      </c>
      <c r="F74" s="18">
        <f>F75+F76</f>
        <v>2708000</v>
      </c>
      <c r="H74" s="18">
        <f t="shared" ref="H74:H137" si="2">F74-E74</f>
        <v>708000</v>
      </c>
      <c r="I74" s="110">
        <f t="shared" ref="I74:I137" si="3">F74/E74</f>
        <v>1.3540000000000001</v>
      </c>
      <c r="J74"/>
      <c r="K74"/>
      <c r="L74"/>
      <c r="M74"/>
      <c r="N74"/>
      <c r="O74"/>
      <c r="P74"/>
      <c r="Q74"/>
    </row>
    <row r="75" spans="1:17" s="19" customFormat="1" ht="35.25" customHeight="1">
      <c r="A75" s="1"/>
      <c r="B75" s="1"/>
      <c r="C75" s="23" t="s">
        <v>19</v>
      </c>
      <c r="D75" s="34" t="s">
        <v>100</v>
      </c>
      <c r="E75" s="25">
        <v>2000000</v>
      </c>
      <c r="F75" s="26">
        <v>2580000</v>
      </c>
      <c r="H75" s="26">
        <f t="shared" si="2"/>
        <v>580000</v>
      </c>
      <c r="I75" s="111">
        <f t="shared" si="3"/>
        <v>1.29</v>
      </c>
      <c r="J75"/>
      <c r="K75"/>
      <c r="L75"/>
      <c r="M75"/>
      <c r="N75"/>
      <c r="O75"/>
      <c r="P75"/>
      <c r="Q75"/>
    </row>
    <row r="76" spans="1:17" s="19" customFormat="1" ht="16.5" customHeight="1">
      <c r="A76" s="1"/>
      <c r="B76" s="1"/>
      <c r="C76" s="48">
        <v>2240</v>
      </c>
      <c r="D76" s="62" t="s">
        <v>20</v>
      </c>
      <c r="E76" s="50"/>
      <c r="F76" s="51">
        <v>128000</v>
      </c>
      <c r="H76" s="26">
        <f t="shared" si="2"/>
        <v>128000</v>
      </c>
      <c r="I76" s="111"/>
      <c r="J76"/>
      <c r="K76"/>
      <c r="L76"/>
      <c r="M76"/>
      <c r="N76"/>
      <c r="O76"/>
      <c r="P76"/>
      <c r="Q76"/>
    </row>
    <row r="77" spans="1:17" s="19" customFormat="1" ht="14.25" customHeight="1">
      <c r="A77" s="1"/>
      <c r="B77" s="1"/>
      <c r="C77" s="44" t="s">
        <v>101</v>
      </c>
      <c r="D77" s="45" t="s">
        <v>102</v>
      </c>
      <c r="E77" s="46">
        <v>382364217.99000001</v>
      </c>
      <c r="F77" s="47">
        <f>F78+F83+F256+F475+F516+F438</f>
        <v>396790730.79270494</v>
      </c>
      <c r="H77" s="18">
        <f t="shared" si="2"/>
        <v>14426512.80270493</v>
      </c>
      <c r="I77" s="110">
        <f t="shared" si="3"/>
        <v>1.0377297668661094</v>
      </c>
      <c r="J77" s="63"/>
      <c r="K77"/>
      <c r="L77"/>
      <c r="M77"/>
      <c r="N77"/>
      <c r="O77"/>
      <c r="P77"/>
      <c r="Q77"/>
    </row>
    <row r="78" spans="1:17" s="19" customFormat="1" ht="21" customHeight="1">
      <c r="A78" s="1"/>
      <c r="B78" s="1"/>
      <c r="C78" s="44" t="s">
        <v>103</v>
      </c>
      <c r="D78" s="45" t="s">
        <v>12</v>
      </c>
      <c r="E78" s="46">
        <v>2213500</v>
      </c>
      <c r="F78" s="47">
        <f>F79+F80+F81+F82</f>
        <v>1220000</v>
      </c>
      <c r="H78" s="18">
        <f t="shared" si="2"/>
        <v>-993500</v>
      </c>
      <c r="I78" s="110">
        <f t="shared" si="3"/>
        <v>0.55116331601536028</v>
      </c>
      <c r="J78"/>
      <c r="K78"/>
      <c r="L78"/>
      <c r="M78"/>
      <c r="N78"/>
      <c r="O78"/>
      <c r="P78"/>
      <c r="Q78"/>
    </row>
    <row r="79" spans="1:17" s="19" customFormat="1" ht="12" customHeight="1">
      <c r="A79" s="1"/>
      <c r="B79" s="1"/>
      <c r="C79" s="48" t="s">
        <v>13</v>
      </c>
      <c r="D79" s="62" t="s">
        <v>14</v>
      </c>
      <c r="E79" s="50">
        <v>1650400</v>
      </c>
      <c r="F79" s="51">
        <v>1000000</v>
      </c>
      <c r="H79" s="26">
        <f t="shared" si="2"/>
        <v>-650400</v>
      </c>
      <c r="I79" s="111">
        <f t="shared" si="3"/>
        <v>0.605913717886573</v>
      </c>
      <c r="J79"/>
      <c r="K79"/>
      <c r="L79"/>
      <c r="M79"/>
      <c r="N79"/>
      <c r="O79"/>
      <c r="P79"/>
      <c r="Q79"/>
    </row>
    <row r="80" spans="1:17" s="19" customFormat="1" ht="12" customHeight="1">
      <c r="A80" s="1"/>
      <c r="B80" s="1"/>
      <c r="C80" s="48" t="s">
        <v>15</v>
      </c>
      <c r="D80" s="62" t="s">
        <v>16</v>
      </c>
      <c r="E80" s="50">
        <v>363100</v>
      </c>
      <c r="F80" s="51">
        <v>220000</v>
      </c>
      <c r="H80" s="26">
        <f t="shared" si="2"/>
        <v>-143100</v>
      </c>
      <c r="I80" s="111">
        <f t="shared" si="3"/>
        <v>0.60589369319746622</v>
      </c>
      <c r="J80"/>
      <c r="K80"/>
      <c r="L80"/>
      <c r="M80"/>
      <c r="N80"/>
      <c r="O80"/>
      <c r="P80"/>
      <c r="Q80"/>
    </row>
    <row r="81" spans="1:17" s="19" customFormat="1" ht="15.75" customHeight="1">
      <c r="A81" s="1"/>
      <c r="B81" s="1"/>
      <c r="C81" s="48" t="s">
        <v>17</v>
      </c>
      <c r="D81" s="62" t="s">
        <v>18</v>
      </c>
      <c r="E81" s="50">
        <v>90000</v>
      </c>
      <c r="F81" s="51">
        <v>0</v>
      </c>
      <c r="H81" s="26">
        <f t="shared" si="2"/>
        <v>-90000</v>
      </c>
      <c r="I81" s="111">
        <f t="shared" si="3"/>
        <v>0</v>
      </c>
      <c r="J81"/>
      <c r="K81"/>
      <c r="L81"/>
      <c r="M81"/>
      <c r="N81"/>
      <c r="O81"/>
      <c r="P81"/>
      <c r="Q81"/>
    </row>
    <row r="82" spans="1:17" s="19" customFormat="1" ht="12" customHeight="1">
      <c r="A82" s="1"/>
      <c r="B82" s="1"/>
      <c r="C82" s="48" t="s">
        <v>19</v>
      </c>
      <c r="D82" s="62" t="s">
        <v>20</v>
      </c>
      <c r="E82" s="50">
        <v>110000</v>
      </c>
      <c r="F82" s="51">
        <v>0</v>
      </c>
      <c r="H82" s="26">
        <f t="shared" si="2"/>
        <v>-110000</v>
      </c>
      <c r="I82" s="111">
        <f t="shared" si="3"/>
        <v>0</v>
      </c>
      <c r="J82"/>
      <c r="K82"/>
      <c r="L82"/>
      <c r="M82"/>
      <c r="N82"/>
      <c r="O82"/>
      <c r="P82"/>
      <c r="Q82"/>
    </row>
    <row r="83" spans="1:17" s="19" customFormat="1" ht="12" customHeight="1">
      <c r="A83" s="1"/>
      <c r="B83" s="1"/>
      <c r="C83" s="44" t="s">
        <v>104</v>
      </c>
      <c r="D83" s="45" t="s">
        <v>105</v>
      </c>
      <c r="E83" s="46">
        <v>92691759</v>
      </c>
      <c r="F83" s="47">
        <f>F84+F85+F86+F87+F88+F89+F90+F91+F92+F93+F94+F95+F96+F97+F98</f>
        <v>97048068.340397209</v>
      </c>
      <c r="H83" s="18">
        <f t="shared" si="2"/>
        <v>4356309.3403972089</v>
      </c>
      <c r="I83" s="110">
        <f t="shared" si="3"/>
        <v>1.0469978063572751</v>
      </c>
      <c r="J83"/>
      <c r="K83"/>
      <c r="L83"/>
      <c r="M83"/>
      <c r="N83"/>
      <c r="O83"/>
      <c r="P83"/>
      <c r="Q83"/>
    </row>
    <row r="84" spans="1:17" s="19" customFormat="1" ht="12" customHeight="1">
      <c r="A84" s="1"/>
      <c r="B84" s="1"/>
      <c r="C84" s="48" t="s">
        <v>13</v>
      </c>
      <c r="D84" s="62" t="s">
        <v>14</v>
      </c>
      <c r="E84" s="50">
        <v>59876644</v>
      </c>
      <c r="F84" s="51">
        <f t="shared" ref="F84:F89" si="4">F100+F114+F129+F143+F157+F171+F185+F199+F213+F227+F243</f>
        <v>56585062.416616939</v>
      </c>
      <c r="H84" s="26">
        <f t="shared" si="2"/>
        <v>-3291581.583383061</v>
      </c>
      <c r="I84" s="111">
        <f t="shared" si="3"/>
        <v>0.94502728670993885</v>
      </c>
      <c r="J84"/>
      <c r="K84"/>
      <c r="L84"/>
      <c r="M84"/>
      <c r="N84"/>
      <c r="O84"/>
      <c r="P84"/>
      <c r="Q84"/>
    </row>
    <row r="85" spans="1:17" s="19" customFormat="1" ht="12" customHeight="1">
      <c r="A85" s="1"/>
      <c r="B85" s="1"/>
      <c r="C85" s="48" t="s">
        <v>15</v>
      </c>
      <c r="D85" s="62" t="s">
        <v>16</v>
      </c>
      <c r="E85" s="50">
        <v>13134518</v>
      </c>
      <c r="F85" s="51">
        <f t="shared" si="4"/>
        <v>12502181.92378027</v>
      </c>
      <c r="H85" s="26">
        <f t="shared" si="2"/>
        <v>-632336.07621973008</v>
      </c>
      <c r="I85" s="111">
        <f t="shared" si="3"/>
        <v>0.95185692568088676</v>
      </c>
      <c r="J85"/>
      <c r="K85"/>
      <c r="L85"/>
      <c r="M85"/>
      <c r="N85"/>
      <c r="O85"/>
      <c r="P85"/>
      <c r="Q85"/>
    </row>
    <row r="86" spans="1:17" s="19" customFormat="1" ht="20.100000000000001" customHeight="1">
      <c r="A86" s="1"/>
      <c r="B86" s="1"/>
      <c r="C86" s="48" t="s">
        <v>17</v>
      </c>
      <c r="D86" s="62" t="s">
        <v>18</v>
      </c>
      <c r="E86" s="50">
        <v>1098560</v>
      </c>
      <c r="F86" s="51">
        <f t="shared" si="4"/>
        <v>1180000</v>
      </c>
      <c r="H86" s="26">
        <f t="shared" si="2"/>
        <v>81440</v>
      </c>
      <c r="I86" s="111">
        <f t="shared" si="3"/>
        <v>1.0741334110107776</v>
      </c>
      <c r="J86"/>
      <c r="K86"/>
      <c r="L86"/>
      <c r="M86"/>
      <c r="N86"/>
      <c r="O86"/>
      <c r="P86"/>
      <c r="Q86"/>
    </row>
    <row r="87" spans="1:17" ht="15.75" customHeight="1">
      <c r="A87" s="1"/>
      <c r="B87" s="1"/>
      <c r="C87" s="48" t="s">
        <v>106</v>
      </c>
      <c r="D87" s="62" t="s">
        <v>107</v>
      </c>
      <c r="E87" s="50">
        <v>131500</v>
      </c>
      <c r="F87" s="51">
        <f t="shared" si="4"/>
        <v>151920</v>
      </c>
      <c r="G87" s="19"/>
      <c r="H87" s="26">
        <f t="shared" si="2"/>
        <v>20420</v>
      </c>
      <c r="I87" s="111">
        <f t="shared" si="3"/>
        <v>1.1552851711026615</v>
      </c>
    </row>
    <row r="88" spans="1:17" ht="12" customHeight="1">
      <c r="A88" s="1"/>
      <c r="B88" s="1"/>
      <c r="C88" s="48" t="s">
        <v>108</v>
      </c>
      <c r="D88" s="62" t="s">
        <v>109</v>
      </c>
      <c r="E88" s="50">
        <v>7708830</v>
      </c>
      <c r="F88" s="51">
        <f t="shared" si="4"/>
        <v>11531200</v>
      </c>
      <c r="G88" s="19"/>
      <c r="H88" s="26">
        <f t="shared" si="2"/>
        <v>3822370</v>
      </c>
      <c r="I88" s="111">
        <f t="shared" si="3"/>
        <v>1.4958430786513648</v>
      </c>
    </row>
    <row r="89" spans="1:17" ht="12" customHeight="1">
      <c r="A89" s="1"/>
      <c r="B89" s="1"/>
      <c r="C89" s="48" t="s">
        <v>19</v>
      </c>
      <c r="D89" s="62" t="s">
        <v>20</v>
      </c>
      <c r="E89" s="50">
        <v>2931927</v>
      </c>
      <c r="F89" s="51">
        <f t="shared" si="4"/>
        <v>2420000</v>
      </c>
      <c r="G89" s="19"/>
      <c r="H89" s="26">
        <f t="shared" si="2"/>
        <v>-511927</v>
      </c>
      <c r="I89" s="111">
        <f t="shared" si="3"/>
        <v>0.82539572097122471</v>
      </c>
    </row>
    <row r="90" spans="1:17" ht="12" customHeight="1">
      <c r="A90" s="1"/>
      <c r="B90" s="1"/>
      <c r="C90" s="48" t="s">
        <v>21</v>
      </c>
      <c r="D90" s="62" t="s">
        <v>22</v>
      </c>
      <c r="E90" s="50">
        <v>36660</v>
      </c>
      <c r="F90" s="51">
        <f>F106+F120+F149+F135+F163+F177+F191+F205+F219+F233+F249</f>
        <v>52600</v>
      </c>
      <c r="G90" s="19"/>
      <c r="H90" s="26">
        <f t="shared" si="2"/>
        <v>15940</v>
      </c>
      <c r="I90" s="111">
        <f t="shared" si="3"/>
        <v>1.4348063284233497</v>
      </c>
    </row>
    <row r="91" spans="1:17" ht="12" customHeight="1">
      <c r="A91" s="1"/>
      <c r="B91" s="1"/>
      <c r="C91" s="48" t="s">
        <v>23</v>
      </c>
      <c r="D91" s="62" t="s">
        <v>24</v>
      </c>
      <c r="E91" s="50">
        <v>1300000</v>
      </c>
      <c r="F91" s="51">
        <f>F107+F121+F136+F150+F164+F178+F192+F206+F220+F234+F250</f>
        <v>2000000</v>
      </c>
      <c r="G91" s="19"/>
      <c r="H91" s="26">
        <f t="shared" si="2"/>
        <v>700000</v>
      </c>
      <c r="I91" s="111">
        <f t="shared" si="3"/>
        <v>1.5384615384615385</v>
      </c>
    </row>
    <row r="92" spans="1:17" ht="20.100000000000001" customHeight="1">
      <c r="A92" s="1"/>
      <c r="B92" s="1"/>
      <c r="C92" s="48" t="s">
        <v>25</v>
      </c>
      <c r="D92" s="62" t="s">
        <v>26</v>
      </c>
      <c r="E92" s="50">
        <v>574850</v>
      </c>
      <c r="F92" s="51">
        <f>F108+F122+F137+F151+F165+F179+F193+F207+F221+F235+F251</f>
        <v>834344</v>
      </c>
      <c r="G92" s="19"/>
      <c r="H92" s="26">
        <f t="shared" si="2"/>
        <v>259494</v>
      </c>
      <c r="I92" s="111">
        <f t="shared" si="3"/>
        <v>1.4514116726102462</v>
      </c>
    </row>
    <row r="93" spans="1:17" ht="12" customHeight="1">
      <c r="A93" s="1"/>
      <c r="B93" s="1"/>
      <c r="C93" s="48" t="s">
        <v>27</v>
      </c>
      <c r="D93" s="62" t="s">
        <v>28</v>
      </c>
      <c r="E93" s="50">
        <v>1668800</v>
      </c>
      <c r="F93" s="51">
        <f>F109+F123+F138+F152+F166+F180+F194+F208+F222+F236+F252</f>
        <v>2212890</v>
      </c>
      <c r="G93" s="19"/>
      <c r="H93" s="26">
        <f t="shared" si="2"/>
        <v>544090</v>
      </c>
      <c r="I93" s="111">
        <f t="shared" si="3"/>
        <v>1.3260366730584852</v>
      </c>
    </row>
    <row r="94" spans="1:17" ht="12" customHeight="1">
      <c r="A94" s="1"/>
      <c r="B94" s="1"/>
      <c r="C94" s="48" t="s">
        <v>29</v>
      </c>
      <c r="D94" s="62" t="s">
        <v>30</v>
      </c>
      <c r="E94" s="50">
        <v>3948000</v>
      </c>
      <c r="F94" s="51">
        <f>F110+F124+F139+F153+F167+F181+F195+F209+F223+F237+F253</f>
        <v>7175020</v>
      </c>
      <c r="G94" s="19"/>
      <c r="H94" s="26">
        <f t="shared" si="2"/>
        <v>3227020</v>
      </c>
      <c r="I94" s="111">
        <f t="shared" si="3"/>
        <v>1.8173809523809523</v>
      </c>
    </row>
    <row r="95" spans="1:17" ht="14.25" customHeight="1">
      <c r="A95" s="1"/>
      <c r="B95" s="1"/>
      <c r="C95" s="48" t="s">
        <v>31</v>
      </c>
      <c r="D95" s="62" t="s">
        <v>32</v>
      </c>
      <c r="E95" s="50">
        <v>213870</v>
      </c>
      <c r="F95" s="51">
        <f>F111+F140+F154+F168+F196+F182+F210+F224+F238+F254+F125</f>
        <v>264730</v>
      </c>
      <c r="G95" s="19"/>
      <c r="H95" s="26">
        <f t="shared" si="2"/>
        <v>50860</v>
      </c>
      <c r="I95" s="111">
        <f t="shared" si="3"/>
        <v>1.2378080142142422</v>
      </c>
    </row>
    <row r="96" spans="1:17" ht="21.75" customHeight="1">
      <c r="A96" s="1"/>
      <c r="B96" s="1"/>
      <c r="C96" s="48" t="s">
        <v>33</v>
      </c>
      <c r="D96" s="62" t="s">
        <v>34</v>
      </c>
      <c r="E96" s="50">
        <v>56835</v>
      </c>
      <c r="F96" s="51">
        <f>F112+F126+F141+F155+F169+F183+F197+F211+F225+F239+F255</f>
        <v>110600</v>
      </c>
      <c r="G96" s="19"/>
      <c r="H96" s="26">
        <f t="shared" si="2"/>
        <v>53765</v>
      </c>
      <c r="I96" s="111">
        <f t="shared" si="3"/>
        <v>1.9459839887393331</v>
      </c>
    </row>
    <row r="97" spans="1:17" ht="12" customHeight="1">
      <c r="A97" s="1"/>
      <c r="B97" s="1"/>
      <c r="C97" s="48" t="s">
        <v>35</v>
      </c>
      <c r="D97" s="62" t="s">
        <v>36</v>
      </c>
      <c r="E97" s="50">
        <v>10765</v>
      </c>
      <c r="F97" s="51">
        <f>F127+F240</f>
        <v>4520</v>
      </c>
      <c r="G97" s="19"/>
      <c r="H97" s="26">
        <f t="shared" si="2"/>
        <v>-6245</v>
      </c>
      <c r="I97" s="111">
        <f t="shared" si="3"/>
        <v>0.41987923827217838</v>
      </c>
      <c r="J97" s="9"/>
      <c r="K97" s="9"/>
      <c r="L97" s="9"/>
      <c r="M97" s="9"/>
      <c r="N97" s="9"/>
      <c r="O97" s="9"/>
      <c r="P97" s="9"/>
      <c r="Q97" s="9"/>
    </row>
    <row r="98" spans="1:17" ht="12" customHeight="1">
      <c r="A98" s="1"/>
      <c r="B98" s="1"/>
      <c r="C98" s="64">
        <v>3110</v>
      </c>
      <c r="D98" s="65" t="s">
        <v>37</v>
      </c>
      <c r="E98" s="66">
        <v>184440</v>
      </c>
      <c r="F98" s="51">
        <v>23000</v>
      </c>
      <c r="G98" s="19"/>
      <c r="H98" s="26">
        <f t="shared" si="2"/>
        <v>-161440</v>
      </c>
      <c r="I98" s="111">
        <f t="shared" si="3"/>
        <v>0.12470180004337454</v>
      </c>
      <c r="J98" s="9"/>
      <c r="K98" s="9"/>
      <c r="L98" s="9"/>
      <c r="M98" s="9"/>
      <c r="N98" s="9"/>
      <c r="O98" s="9"/>
      <c r="P98" s="9"/>
      <c r="Q98" s="9"/>
    </row>
    <row r="99" spans="1:17" ht="16.5" hidden="1" customHeight="1">
      <c r="A99" s="1"/>
      <c r="B99" s="1"/>
      <c r="C99" s="44" t="s">
        <v>104</v>
      </c>
      <c r="D99" s="45" t="s">
        <v>110</v>
      </c>
      <c r="E99" s="46">
        <f>SUM(E100:E112)</f>
        <v>12635470</v>
      </c>
      <c r="F99" s="47">
        <f>F100+F101+F102+F103+F104+F105+F106+F107+F108+F109+F110+F111+F112</f>
        <v>13532773</v>
      </c>
      <c r="G99" s="67">
        <f>G100+G101+G114+G115+G143+G144+G171+G172+G199+G200+G213+G214+G227+G228+G287+G288+G302+G303+G317+G318+G332+G333+G347+G348+G362+G363+G377+G378+G394+G395+G409+G410+G424+G425+G488+G489+G502+G503+G574+G575+G592+G593+G606+G607+G619+G620+G129+G130+G157+G158+G273+G274</f>
        <v>36005205.94568225</v>
      </c>
      <c r="H99" s="26">
        <f t="shared" si="2"/>
        <v>897303</v>
      </c>
      <c r="I99" s="111">
        <f t="shared" si="3"/>
        <v>1.0710146120405493</v>
      </c>
      <c r="J99" s="68"/>
      <c r="K99" s="68"/>
      <c r="L99" s="68"/>
      <c r="M99" s="68"/>
      <c r="N99" s="68"/>
      <c r="O99" s="68"/>
      <c r="P99" s="68"/>
      <c r="Q99" s="9"/>
    </row>
    <row r="100" spans="1:17" ht="12" hidden="1" customHeight="1">
      <c r="A100" s="1"/>
      <c r="B100" s="1"/>
      <c r="C100" s="48">
        <v>2111</v>
      </c>
      <c r="D100" s="62" t="s">
        <v>14</v>
      </c>
      <c r="E100" s="50">
        <f>7615620+996780</f>
        <v>8612400</v>
      </c>
      <c r="F100" s="51">
        <f>9408194-1592156</f>
        <v>7816038</v>
      </c>
      <c r="G100" s="19">
        <v>1664526.6966553845</v>
      </c>
      <c r="H100" s="26">
        <f t="shared" si="2"/>
        <v>-796362</v>
      </c>
      <c r="I100" s="111">
        <f t="shared" si="3"/>
        <v>0.90753309182109521</v>
      </c>
      <c r="J100" s="68"/>
      <c r="K100" s="68"/>
      <c r="L100" s="68"/>
      <c r="M100" s="68"/>
      <c r="N100" s="68"/>
      <c r="O100" s="68"/>
      <c r="P100" s="68"/>
      <c r="Q100" s="9"/>
    </row>
    <row r="101" spans="1:17" ht="12" hidden="1" customHeight="1">
      <c r="A101" s="1"/>
      <c r="B101" s="1"/>
      <c r="C101" s="48">
        <v>2120</v>
      </c>
      <c r="D101" s="62" t="s">
        <v>16</v>
      </c>
      <c r="E101" s="50">
        <f>1674710+150000</f>
        <v>1824710</v>
      </c>
      <c r="F101" s="51">
        <f>1993315-337330</f>
        <v>1655985</v>
      </c>
      <c r="G101" s="19">
        <v>352663.42815638456</v>
      </c>
      <c r="H101" s="26">
        <f t="shared" si="2"/>
        <v>-168725</v>
      </c>
      <c r="I101" s="111">
        <f t="shared" si="3"/>
        <v>0.90753325185919953</v>
      </c>
      <c r="J101" s="68"/>
      <c r="K101" s="68"/>
      <c r="L101" s="68"/>
      <c r="M101" s="68"/>
      <c r="N101" s="68"/>
      <c r="O101" s="68"/>
      <c r="P101" s="68"/>
      <c r="Q101" s="9"/>
    </row>
    <row r="102" spans="1:17" ht="12" hidden="1" customHeight="1">
      <c r="A102" s="1"/>
      <c r="B102" s="1"/>
      <c r="C102" s="48" t="s">
        <v>17</v>
      </c>
      <c r="D102" s="62" t="s">
        <v>18</v>
      </c>
      <c r="E102" s="50">
        <v>83560</v>
      </c>
      <c r="F102" s="51">
        <v>100000</v>
      </c>
      <c r="G102" s="19"/>
      <c r="H102" s="26">
        <f t="shared" si="2"/>
        <v>16440</v>
      </c>
      <c r="I102" s="111">
        <f t="shared" si="3"/>
        <v>1.1967448539971277</v>
      </c>
      <c r="J102" s="68"/>
      <c r="K102" s="68"/>
      <c r="L102" s="68"/>
      <c r="M102" s="68"/>
      <c r="N102" s="68"/>
      <c r="O102" s="68"/>
      <c r="P102" s="68"/>
      <c r="Q102" s="9"/>
    </row>
    <row r="103" spans="1:17" ht="12" hidden="1" customHeight="1">
      <c r="A103" s="1"/>
      <c r="B103" s="1"/>
      <c r="C103" s="48" t="s">
        <v>106</v>
      </c>
      <c r="D103" s="62" t="s">
        <v>107</v>
      </c>
      <c r="E103" s="50">
        <v>3300</v>
      </c>
      <c r="F103" s="51">
        <v>5000</v>
      </c>
      <c r="G103" s="19"/>
      <c r="H103" s="26">
        <f t="shared" si="2"/>
        <v>1700</v>
      </c>
      <c r="I103" s="111">
        <f t="shared" si="3"/>
        <v>1.5151515151515151</v>
      </c>
      <c r="J103" s="68"/>
      <c r="K103" s="68"/>
      <c r="L103" s="68"/>
      <c r="M103" s="68"/>
      <c r="N103" s="68"/>
      <c r="O103" s="68"/>
      <c r="P103" s="68"/>
      <c r="Q103" s="9"/>
    </row>
    <row r="104" spans="1:17" ht="12" hidden="1" customHeight="1">
      <c r="A104" s="1"/>
      <c r="B104" s="1"/>
      <c r="C104" s="48" t="s">
        <v>108</v>
      </c>
      <c r="D104" s="62" t="s">
        <v>109</v>
      </c>
      <c r="E104" s="50">
        <v>770000</v>
      </c>
      <c r="F104" s="51">
        <v>2241000</v>
      </c>
      <c r="G104" s="19"/>
      <c r="H104" s="26">
        <f t="shared" si="2"/>
        <v>1471000</v>
      </c>
      <c r="I104" s="111">
        <f t="shared" si="3"/>
        <v>2.9103896103896103</v>
      </c>
      <c r="J104" s="69"/>
      <c r="K104" s="69"/>
      <c r="L104" s="69"/>
      <c r="M104" s="69"/>
      <c r="N104" s="69"/>
      <c r="O104" s="69"/>
      <c r="P104" s="69"/>
      <c r="Q104" s="9"/>
    </row>
    <row r="105" spans="1:17" ht="12" hidden="1" customHeight="1">
      <c r="A105" s="1"/>
      <c r="B105" s="1"/>
      <c r="C105" s="48" t="s">
        <v>19</v>
      </c>
      <c r="D105" s="62" t="s">
        <v>20</v>
      </c>
      <c r="E105" s="50">
        <v>300000</v>
      </c>
      <c r="F105" s="51">
        <v>250000</v>
      </c>
      <c r="G105" s="19"/>
      <c r="H105" s="26">
        <f t="shared" si="2"/>
        <v>-50000</v>
      </c>
      <c r="I105" s="111">
        <f t="shared" si="3"/>
        <v>0.83333333333333337</v>
      </c>
      <c r="J105" s="69"/>
      <c r="K105" s="69"/>
      <c r="L105" s="69"/>
      <c r="M105" s="69"/>
      <c r="N105" s="69"/>
      <c r="O105" s="69"/>
      <c r="P105" s="69"/>
      <c r="Q105" s="9"/>
    </row>
    <row r="106" spans="1:17" ht="12" hidden="1" customHeight="1">
      <c r="A106" s="1"/>
      <c r="B106" s="1"/>
      <c r="C106" s="48" t="s">
        <v>21</v>
      </c>
      <c r="D106" s="62" t="s">
        <v>22</v>
      </c>
      <c r="E106" s="50">
        <v>6000</v>
      </c>
      <c r="F106" s="51">
        <v>7000</v>
      </c>
      <c r="G106" s="19"/>
      <c r="H106" s="26">
        <f t="shared" si="2"/>
        <v>1000</v>
      </c>
      <c r="I106" s="111">
        <f t="shared" si="3"/>
        <v>1.1666666666666667</v>
      </c>
      <c r="J106" s="69"/>
      <c r="K106" s="69"/>
      <c r="L106" s="69"/>
      <c r="M106" s="69"/>
      <c r="N106" s="69"/>
      <c r="O106" s="69"/>
      <c r="P106" s="69"/>
      <c r="Q106" s="9"/>
    </row>
    <row r="107" spans="1:17" ht="12" hidden="1" customHeight="1">
      <c r="A107" s="1"/>
      <c r="B107" s="1"/>
      <c r="C107" s="48" t="s">
        <v>23</v>
      </c>
      <c r="D107" s="62" t="s">
        <v>24</v>
      </c>
      <c r="E107" s="50"/>
      <c r="F107" s="51">
        <v>0</v>
      </c>
      <c r="G107" s="19"/>
      <c r="H107" s="26">
        <f t="shared" si="2"/>
        <v>0</v>
      </c>
      <c r="I107" s="111"/>
      <c r="J107" s="69"/>
      <c r="K107" s="69"/>
      <c r="L107" s="69"/>
      <c r="M107" s="69"/>
      <c r="N107" s="69"/>
      <c r="O107" s="69"/>
      <c r="P107" s="69"/>
      <c r="Q107" s="9"/>
    </row>
    <row r="108" spans="1:17" ht="12" hidden="1" customHeight="1">
      <c r="A108" s="1"/>
      <c r="B108" s="1"/>
      <c r="C108" s="48" t="s">
        <v>25</v>
      </c>
      <c r="D108" s="62" t="s">
        <v>26</v>
      </c>
      <c r="E108" s="50">
        <v>110000</v>
      </c>
      <c r="F108" s="51">
        <v>143000</v>
      </c>
      <c r="G108" s="19"/>
      <c r="H108" s="26">
        <f t="shared" si="2"/>
        <v>33000</v>
      </c>
      <c r="I108" s="111">
        <f t="shared" si="3"/>
        <v>1.3</v>
      </c>
      <c r="J108" s="69"/>
      <c r="K108" s="69"/>
      <c r="L108" s="69"/>
      <c r="M108" s="69"/>
      <c r="N108" s="69"/>
      <c r="O108" s="69"/>
      <c r="P108" s="69"/>
      <c r="Q108" s="9"/>
    </row>
    <row r="109" spans="1:17" ht="12" hidden="1" customHeight="1">
      <c r="A109" s="1"/>
      <c r="B109" s="1"/>
      <c r="C109" s="48" t="s">
        <v>27</v>
      </c>
      <c r="D109" s="62" t="s">
        <v>28</v>
      </c>
      <c r="E109" s="50">
        <v>175000</v>
      </c>
      <c r="F109" s="51">
        <v>262500</v>
      </c>
      <c r="G109" s="19"/>
      <c r="H109" s="26">
        <f t="shared" si="2"/>
        <v>87500</v>
      </c>
      <c r="I109" s="111">
        <f t="shared" si="3"/>
        <v>1.5</v>
      </c>
      <c r="J109" s="69"/>
      <c r="K109" s="69"/>
      <c r="L109" s="69"/>
      <c r="M109" s="69"/>
      <c r="N109" s="69"/>
      <c r="O109" s="69"/>
      <c r="P109" s="69"/>
      <c r="Q109" s="9"/>
    </row>
    <row r="110" spans="1:17" ht="12" hidden="1" customHeight="1">
      <c r="A110" s="1"/>
      <c r="B110" s="1"/>
      <c r="C110" s="48" t="s">
        <v>29</v>
      </c>
      <c r="D110" s="62" t="s">
        <v>30</v>
      </c>
      <c r="E110" s="50">
        <v>713000</v>
      </c>
      <c r="F110" s="51">
        <v>984000</v>
      </c>
      <c r="G110" s="19"/>
      <c r="H110" s="26">
        <f t="shared" si="2"/>
        <v>271000</v>
      </c>
      <c r="I110" s="111">
        <f t="shared" si="3"/>
        <v>1.3800841514726507</v>
      </c>
      <c r="J110" s="68"/>
      <c r="K110" s="68"/>
      <c r="L110" s="68"/>
      <c r="M110" s="68"/>
      <c r="N110" s="68"/>
      <c r="O110" s="68"/>
      <c r="P110" s="68"/>
      <c r="Q110" s="9"/>
    </row>
    <row r="111" spans="1:17" ht="19.5" hidden="1" customHeight="1">
      <c r="A111" s="1"/>
      <c r="B111" s="1"/>
      <c r="C111" s="48" t="s">
        <v>31</v>
      </c>
      <c r="D111" s="62" t="s">
        <v>32</v>
      </c>
      <c r="E111" s="50">
        <v>27500</v>
      </c>
      <c r="F111" s="51">
        <v>30250</v>
      </c>
      <c r="G111" s="19"/>
      <c r="H111" s="26">
        <f t="shared" si="2"/>
        <v>2750</v>
      </c>
      <c r="I111" s="111">
        <f t="shared" si="3"/>
        <v>1.1000000000000001</v>
      </c>
      <c r="J111" s="69"/>
      <c r="K111" s="69"/>
      <c r="L111" s="69"/>
      <c r="M111" s="69"/>
      <c r="N111" s="69"/>
      <c r="O111" s="69"/>
      <c r="P111" s="69"/>
      <c r="Q111" s="9"/>
    </row>
    <row r="112" spans="1:17" ht="18" hidden="1" customHeight="1">
      <c r="A112" s="1"/>
      <c r="B112" s="1"/>
      <c r="C112" s="48" t="s">
        <v>33</v>
      </c>
      <c r="D112" s="62" t="s">
        <v>34</v>
      </c>
      <c r="E112" s="50">
        <v>10000</v>
      </c>
      <c r="F112" s="51">
        <v>38000</v>
      </c>
      <c r="G112" s="19"/>
      <c r="H112" s="26">
        <f t="shared" si="2"/>
        <v>28000</v>
      </c>
      <c r="I112" s="111">
        <f t="shared" si="3"/>
        <v>3.8</v>
      </c>
      <c r="J112" s="68"/>
      <c r="K112" s="68"/>
      <c r="L112" s="68"/>
      <c r="M112" s="68"/>
      <c r="N112" s="68"/>
      <c r="O112" s="68"/>
      <c r="P112" s="68"/>
      <c r="Q112" s="9"/>
    </row>
    <row r="113" spans="1:17" ht="25.5" hidden="1" customHeight="1">
      <c r="A113" s="1"/>
      <c r="B113" s="1"/>
      <c r="C113" s="44" t="s">
        <v>104</v>
      </c>
      <c r="D113" s="45" t="s">
        <v>111</v>
      </c>
      <c r="E113" s="46">
        <f>SUM(E114:E127)</f>
        <v>10919172</v>
      </c>
      <c r="F113" s="47">
        <f>F114+F115+F116+F117+F118+F119+F120+F121+F122+F123+F124+F125+F126+F127</f>
        <v>10454263.622980691</v>
      </c>
      <c r="G113" s="19"/>
      <c r="H113" s="26">
        <f t="shared" si="2"/>
        <v>-464908.37701930851</v>
      </c>
      <c r="I113" s="111">
        <f t="shared" si="3"/>
        <v>0.95742274441511599</v>
      </c>
      <c r="J113" s="68"/>
      <c r="K113" s="68"/>
      <c r="L113" s="68"/>
      <c r="M113" s="68"/>
      <c r="N113" s="68"/>
      <c r="O113" s="68"/>
      <c r="P113" s="68"/>
      <c r="Q113" s="9"/>
    </row>
    <row r="114" spans="1:17" ht="12" hidden="1" customHeight="1">
      <c r="A114" s="1"/>
      <c r="B114" s="1"/>
      <c r="C114" s="48">
        <v>2111</v>
      </c>
      <c r="D114" s="62" t="s">
        <v>14</v>
      </c>
      <c r="E114" s="50">
        <v>7485180</v>
      </c>
      <c r="F114" s="51">
        <f>8176818-G114</f>
        <v>6730150.1792681534</v>
      </c>
      <c r="G114" s="19">
        <v>1446667.8207318462</v>
      </c>
      <c r="H114" s="26">
        <f t="shared" si="2"/>
        <v>-755029.82073184662</v>
      </c>
      <c r="I114" s="111">
        <f t="shared" si="3"/>
        <v>0.89913003819121962</v>
      </c>
      <c r="J114" s="69"/>
      <c r="K114" s="69"/>
      <c r="L114" s="69"/>
      <c r="M114" s="69"/>
      <c r="N114" s="69"/>
      <c r="O114" s="69"/>
      <c r="P114" s="69"/>
      <c r="Q114" s="9"/>
    </row>
    <row r="115" spans="1:17" ht="12" hidden="1" customHeight="1">
      <c r="A115" s="1"/>
      <c r="B115" s="1"/>
      <c r="C115" s="48">
        <v>2120</v>
      </c>
      <c r="D115" s="62" t="s">
        <v>16</v>
      </c>
      <c r="E115" s="50">
        <v>1675190</v>
      </c>
      <c r="F115" s="51">
        <f>1829979-G115</f>
        <v>1506213.4437125386</v>
      </c>
      <c r="G115" s="19">
        <v>323765.55628746148</v>
      </c>
      <c r="H115" s="26">
        <f t="shared" si="2"/>
        <v>-168976.55628746143</v>
      </c>
      <c r="I115" s="111">
        <f t="shared" si="3"/>
        <v>0.89912991583792801</v>
      </c>
      <c r="J115" s="69"/>
      <c r="K115" s="69"/>
      <c r="L115" s="69"/>
      <c r="M115" s="69"/>
      <c r="N115" s="69"/>
      <c r="O115" s="69"/>
      <c r="P115" s="69"/>
      <c r="Q115" s="9"/>
    </row>
    <row r="116" spans="1:17" ht="12" hidden="1" customHeight="1">
      <c r="A116" s="1"/>
      <c r="B116" s="1"/>
      <c r="C116" s="48" t="s">
        <v>17</v>
      </c>
      <c r="D116" s="62" t="s">
        <v>18</v>
      </c>
      <c r="E116" s="50">
        <v>94100</v>
      </c>
      <c r="F116" s="51">
        <v>100000</v>
      </c>
      <c r="G116" s="19"/>
      <c r="H116" s="26">
        <f t="shared" si="2"/>
        <v>5900</v>
      </c>
      <c r="I116" s="111">
        <f t="shared" si="3"/>
        <v>1.0626992561105206</v>
      </c>
      <c r="J116" s="69"/>
      <c r="K116" s="69"/>
      <c r="L116" s="69"/>
      <c r="M116" s="69"/>
      <c r="N116" s="69"/>
      <c r="O116" s="69"/>
      <c r="P116" s="69"/>
      <c r="Q116" s="9"/>
    </row>
    <row r="117" spans="1:17" ht="12" hidden="1" customHeight="1">
      <c r="A117" s="1"/>
      <c r="B117" s="1"/>
      <c r="C117" s="48" t="s">
        <v>106</v>
      </c>
      <c r="D117" s="62" t="s">
        <v>107</v>
      </c>
      <c r="E117" s="50">
        <v>3300</v>
      </c>
      <c r="F117" s="51">
        <v>0</v>
      </c>
      <c r="G117" s="19"/>
      <c r="H117" s="26">
        <f t="shared" si="2"/>
        <v>-3300</v>
      </c>
      <c r="I117" s="111">
        <f t="shared" si="3"/>
        <v>0</v>
      </c>
      <c r="J117" s="69"/>
      <c r="K117" s="69"/>
      <c r="L117" s="69"/>
      <c r="M117" s="69"/>
      <c r="N117" s="69"/>
      <c r="O117" s="69"/>
      <c r="P117" s="69"/>
      <c r="Q117" s="9"/>
    </row>
    <row r="118" spans="1:17" ht="12" hidden="1" customHeight="1">
      <c r="A118" s="1"/>
      <c r="B118" s="1"/>
      <c r="C118" s="48" t="s">
        <v>108</v>
      </c>
      <c r="D118" s="62" t="s">
        <v>109</v>
      </c>
      <c r="E118" s="50">
        <v>957000</v>
      </c>
      <c r="F118" s="51">
        <v>1122400</v>
      </c>
      <c r="G118" s="19"/>
      <c r="H118" s="26">
        <f t="shared" si="2"/>
        <v>165400</v>
      </c>
      <c r="I118" s="111">
        <f t="shared" si="3"/>
        <v>1.1728317659352143</v>
      </c>
      <c r="J118" s="69"/>
      <c r="K118" s="69"/>
      <c r="L118" s="69"/>
      <c r="M118" s="69"/>
      <c r="N118" s="69"/>
      <c r="O118" s="69"/>
      <c r="P118" s="69"/>
      <c r="Q118" s="9"/>
    </row>
    <row r="119" spans="1:17" ht="12" hidden="1" customHeight="1">
      <c r="A119" s="1"/>
      <c r="B119" s="1"/>
      <c r="C119" s="48" t="s">
        <v>19</v>
      </c>
      <c r="D119" s="62" t="s">
        <v>20</v>
      </c>
      <c r="E119" s="50">
        <v>293582</v>
      </c>
      <c r="F119" s="51">
        <v>250000</v>
      </c>
      <c r="G119" s="19"/>
      <c r="H119" s="26">
        <f t="shared" si="2"/>
        <v>-43582</v>
      </c>
      <c r="I119" s="111">
        <f t="shared" si="3"/>
        <v>0.85155084439781725</v>
      </c>
      <c r="J119" s="69"/>
      <c r="K119" s="69"/>
      <c r="L119" s="69"/>
      <c r="M119" s="69"/>
      <c r="N119" s="69"/>
      <c r="O119" s="69"/>
      <c r="P119" s="69"/>
      <c r="Q119" s="9"/>
    </row>
    <row r="120" spans="1:17" ht="12" hidden="1" customHeight="1">
      <c r="A120" s="1"/>
      <c r="B120" s="1"/>
      <c r="C120" s="48" t="s">
        <v>21</v>
      </c>
      <c r="D120" s="62" t="s">
        <v>22</v>
      </c>
      <c r="E120" s="50">
        <v>990</v>
      </c>
      <c r="F120" s="51">
        <v>3000</v>
      </c>
      <c r="G120" s="19"/>
      <c r="H120" s="26">
        <f t="shared" si="2"/>
        <v>2010</v>
      </c>
      <c r="I120" s="111">
        <f t="shared" si="3"/>
        <v>3.0303030303030303</v>
      </c>
      <c r="J120" s="69"/>
      <c r="K120" s="69"/>
      <c r="L120" s="69"/>
      <c r="M120" s="69"/>
      <c r="N120" s="69"/>
      <c r="O120" s="69"/>
      <c r="P120" s="69"/>
      <c r="Q120" s="9"/>
    </row>
    <row r="121" spans="1:17" ht="12" hidden="1" customHeight="1">
      <c r="A121" s="1"/>
      <c r="B121" s="1"/>
      <c r="C121" s="48" t="s">
        <v>23</v>
      </c>
      <c r="D121" s="62" t="s">
        <v>24</v>
      </c>
      <c r="E121" s="50"/>
      <c r="F121" s="51">
        <v>0</v>
      </c>
      <c r="G121" s="19"/>
      <c r="H121" s="26">
        <f t="shared" si="2"/>
        <v>0</v>
      </c>
      <c r="I121" s="111" t="e">
        <f t="shared" si="3"/>
        <v>#DIV/0!</v>
      </c>
      <c r="J121" s="69"/>
      <c r="K121" s="69"/>
      <c r="L121" s="69"/>
      <c r="M121" s="69"/>
      <c r="N121" s="69"/>
      <c r="O121" s="69"/>
      <c r="P121" s="69"/>
      <c r="Q121" s="9"/>
    </row>
    <row r="122" spans="1:17" ht="12" hidden="1" customHeight="1">
      <c r="A122" s="1"/>
      <c r="B122" s="1"/>
      <c r="C122" s="48" t="s">
        <v>25</v>
      </c>
      <c r="D122" s="62" t="s">
        <v>26</v>
      </c>
      <c r="E122" s="50">
        <v>52800</v>
      </c>
      <c r="F122" s="51">
        <v>75000</v>
      </c>
      <c r="G122" s="19"/>
      <c r="H122" s="26">
        <f t="shared" si="2"/>
        <v>22200</v>
      </c>
      <c r="I122" s="111">
        <f t="shared" si="3"/>
        <v>1.4204545454545454</v>
      </c>
      <c r="J122" s="69"/>
      <c r="K122" s="69"/>
      <c r="L122" s="69"/>
      <c r="M122" s="69"/>
      <c r="N122" s="69"/>
      <c r="O122" s="69"/>
      <c r="P122" s="69"/>
      <c r="Q122" s="9"/>
    </row>
    <row r="123" spans="1:17" ht="12" hidden="1" customHeight="1">
      <c r="A123" s="1"/>
      <c r="B123" s="1"/>
      <c r="C123" s="48" t="s">
        <v>27</v>
      </c>
      <c r="D123" s="62" t="s">
        <v>28</v>
      </c>
      <c r="E123" s="50">
        <v>91800</v>
      </c>
      <c r="F123" s="51">
        <v>120000</v>
      </c>
      <c r="G123" s="19"/>
      <c r="H123" s="26">
        <f t="shared" si="2"/>
        <v>28200</v>
      </c>
      <c r="I123" s="111">
        <f t="shared" si="3"/>
        <v>1.3071895424836601</v>
      </c>
      <c r="J123" s="69"/>
      <c r="K123" s="69"/>
      <c r="L123" s="69"/>
      <c r="M123" s="69"/>
      <c r="N123" s="69"/>
      <c r="O123" s="69"/>
      <c r="P123" s="69"/>
      <c r="Q123" s="9"/>
    </row>
    <row r="124" spans="1:17" ht="12" hidden="1" customHeight="1">
      <c r="A124" s="1"/>
      <c r="B124" s="1"/>
      <c r="C124" s="48" t="s">
        <v>29</v>
      </c>
      <c r="D124" s="62" t="s">
        <v>30</v>
      </c>
      <c r="E124" s="50">
        <v>246200</v>
      </c>
      <c r="F124" s="51">
        <v>522500</v>
      </c>
      <c r="G124" s="19"/>
      <c r="H124" s="26">
        <f t="shared" si="2"/>
        <v>276300</v>
      </c>
      <c r="I124" s="111">
        <f t="shared" si="3"/>
        <v>2.1222583265637693</v>
      </c>
      <c r="J124" s="69"/>
      <c r="K124" s="69"/>
      <c r="L124" s="69"/>
      <c r="M124" s="69"/>
      <c r="N124" s="69"/>
      <c r="O124" s="69"/>
      <c r="P124" s="69"/>
      <c r="Q124" s="9"/>
    </row>
    <row r="125" spans="1:17" ht="16.5" hidden="1" customHeight="1">
      <c r="A125" s="1"/>
      <c r="B125" s="1"/>
      <c r="C125" s="48" t="s">
        <v>31</v>
      </c>
      <c r="D125" s="62" t="s">
        <v>32</v>
      </c>
      <c r="E125" s="50">
        <v>11770</v>
      </c>
      <c r="F125" s="51">
        <v>16000</v>
      </c>
      <c r="G125" s="19"/>
      <c r="H125" s="26">
        <f t="shared" si="2"/>
        <v>4230</v>
      </c>
      <c r="I125" s="111">
        <f t="shared" si="3"/>
        <v>1.3593882752761257</v>
      </c>
      <c r="J125" s="69"/>
      <c r="K125" s="69"/>
      <c r="L125" s="69"/>
      <c r="M125" s="69"/>
      <c r="N125" s="69"/>
      <c r="O125" s="69"/>
      <c r="P125" s="69"/>
      <c r="Q125" s="9"/>
    </row>
    <row r="126" spans="1:17" ht="21.75" hidden="1" customHeight="1">
      <c r="A126" s="1"/>
      <c r="B126" s="1"/>
      <c r="C126" s="48" t="s">
        <v>33</v>
      </c>
      <c r="D126" s="62" t="s">
        <v>34</v>
      </c>
      <c r="E126" s="50">
        <v>6600</v>
      </c>
      <c r="F126" s="51">
        <v>8000</v>
      </c>
      <c r="G126" s="19"/>
      <c r="H126" s="26">
        <f t="shared" si="2"/>
        <v>1400</v>
      </c>
      <c r="I126" s="111">
        <f t="shared" si="3"/>
        <v>1.2121212121212122</v>
      </c>
      <c r="J126" s="69"/>
      <c r="K126" s="69"/>
      <c r="L126" s="69"/>
      <c r="M126" s="69"/>
      <c r="N126" s="69"/>
      <c r="O126" s="69"/>
      <c r="P126" s="69"/>
      <c r="Q126" s="9"/>
    </row>
    <row r="127" spans="1:17" ht="12" hidden="1" customHeight="1">
      <c r="A127" s="1"/>
      <c r="B127" s="1"/>
      <c r="C127" s="48" t="s">
        <v>35</v>
      </c>
      <c r="D127" s="62" t="s">
        <v>36</v>
      </c>
      <c r="E127" s="50">
        <v>660</v>
      </c>
      <c r="F127" s="51">
        <v>1000</v>
      </c>
      <c r="G127" s="19"/>
      <c r="H127" s="26">
        <f t="shared" si="2"/>
        <v>340</v>
      </c>
      <c r="I127" s="111">
        <f t="shared" si="3"/>
        <v>1.5151515151515151</v>
      </c>
      <c r="J127" s="69"/>
      <c r="K127" s="69"/>
      <c r="L127" s="69"/>
      <c r="M127" s="69"/>
      <c r="N127" s="69"/>
      <c r="O127" s="69"/>
      <c r="P127" s="69"/>
      <c r="Q127" s="9"/>
    </row>
    <row r="128" spans="1:17" ht="12" hidden="1" customHeight="1">
      <c r="A128" s="1"/>
      <c r="B128" s="1"/>
      <c r="C128" s="44" t="s">
        <v>104</v>
      </c>
      <c r="D128" s="45" t="s">
        <v>112</v>
      </c>
      <c r="E128" s="46">
        <f>SUM(E129:E141)</f>
        <v>3904053</v>
      </c>
      <c r="F128" s="47">
        <f>F129+F130+F131+F132+F133+F134+F135+F136+F137+F138+F139+F140+F141</f>
        <v>4084530.0883760075</v>
      </c>
      <c r="G128" s="19"/>
      <c r="H128" s="26">
        <f t="shared" si="2"/>
        <v>180477.08837600751</v>
      </c>
      <c r="I128" s="111">
        <f t="shared" si="3"/>
        <v>1.0462281348065734</v>
      </c>
      <c r="J128" s="69"/>
      <c r="K128" s="69"/>
      <c r="L128" s="69"/>
      <c r="M128" s="69"/>
      <c r="N128" s="69"/>
      <c r="O128" s="69"/>
      <c r="P128" s="69"/>
      <c r="Q128" s="9"/>
    </row>
    <row r="129" spans="1:17" ht="12" hidden="1" customHeight="1">
      <c r="A129" s="1"/>
      <c r="B129" s="1"/>
      <c r="C129" s="48">
        <v>2111</v>
      </c>
      <c r="D129" s="62" t="s">
        <v>14</v>
      </c>
      <c r="E129" s="50">
        <v>2476144</v>
      </c>
      <c r="F129" s="51">
        <f>2704942-G129</f>
        <v>2226375.3063068306</v>
      </c>
      <c r="G129" s="19">
        <v>478566.69369316922</v>
      </c>
      <c r="H129" s="26">
        <f t="shared" si="2"/>
        <v>-249768.69369316939</v>
      </c>
      <c r="I129" s="111">
        <f t="shared" si="3"/>
        <v>0.89912998044816073</v>
      </c>
      <c r="J129" s="69"/>
      <c r="K129" s="69"/>
      <c r="L129" s="69"/>
      <c r="M129" s="69"/>
      <c r="N129" s="69"/>
      <c r="O129" s="69"/>
      <c r="P129" s="69"/>
      <c r="Q129" s="9"/>
    </row>
    <row r="130" spans="1:17" ht="12" hidden="1" customHeight="1">
      <c r="A130" s="1"/>
      <c r="B130" s="1"/>
      <c r="C130" s="48">
        <v>2120</v>
      </c>
      <c r="D130" s="62" t="s">
        <v>16</v>
      </c>
      <c r="E130" s="50">
        <v>548009</v>
      </c>
      <c r="F130" s="51">
        <f>598646-G130</f>
        <v>492731.7820691769</v>
      </c>
      <c r="G130" s="19">
        <v>105914.21793082308</v>
      </c>
      <c r="H130" s="26">
        <f t="shared" si="2"/>
        <v>-55277.217930823099</v>
      </c>
      <c r="I130" s="111">
        <f t="shared" si="3"/>
        <v>0.89913082097041641</v>
      </c>
      <c r="J130" s="69"/>
      <c r="K130" s="69"/>
      <c r="L130" s="69"/>
      <c r="M130" s="69"/>
      <c r="N130" s="69"/>
      <c r="O130" s="69"/>
      <c r="P130" s="69"/>
      <c r="Q130" s="9"/>
    </row>
    <row r="131" spans="1:17" ht="12" hidden="1" customHeight="1">
      <c r="A131" s="1"/>
      <c r="B131" s="1"/>
      <c r="C131" s="48" t="s">
        <v>17</v>
      </c>
      <c r="D131" s="62" t="s">
        <v>18</v>
      </c>
      <c r="E131" s="50">
        <v>42500</v>
      </c>
      <c r="F131" s="51">
        <v>50000</v>
      </c>
      <c r="G131" s="19"/>
      <c r="H131" s="26">
        <f t="shared" si="2"/>
        <v>7500</v>
      </c>
      <c r="I131" s="111">
        <f t="shared" si="3"/>
        <v>1.1764705882352942</v>
      </c>
      <c r="J131" s="69"/>
      <c r="K131" s="69"/>
      <c r="L131" s="69"/>
      <c r="M131" s="69"/>
      <c r="N131" s="69"/>
      <c r="O131" s="69"/>
      <c r="P131" s="69"/>
      <c r="Q131" s="9"/>
    </row>
    <row r="132" spans="1:17" ht="12" hidden="1" customHeight="1">
      <c r="A132" s="1"/>
      <c r="B132" s="1"/>
      <c r="C132" s="48" t="s">
        <v>106</v>
      </c>
      <c r="D132" s="62" t="s">
        <v>107</v>
      </c>
      <c r="E132" s="50">
        <v>6600</v>
      </c>
      <c r="F132" s="51">
        <v>7920</v>
      </c>
      <c r="G132" s="19"/>
      <c r="H132" s="26">
        <f t="shared" si="2"/>
        <v>1320</v>
      </c>
      <c r="I132" s="111">
        <f t="shared" si="3"/>
        <v>1.2</v>
      </c>
      <c r="J132" s="69"/>
      <c r="K132" s="69"/>
      <c r="L132" s="69"/>
      <c r="M132" s="69"/>
      <c r="N132" s="69"/>
      <c r="O132" s="69"/>
      <c r="P132" s="69"/>
      <c r="Q132" s="9"/>
    </row>
    <row r="133" spans="1:17" ht="12" hidden="1" customHeight="1">
      <c r="A133" s="1"/>
      <c r="B133" s="1"/>
      <c r="C133" s="48" t="s">
        <v>108</v>
      </c>
      <c r="D133" s="62" t="s">
        <v>109</v>
      </c>
      <c r="E133" s="50">
        <v>330000</v>
      </c>
      <c r="F133" s="51">
        <v>369400</v>
      </c>
      <c r="G133" s="19"/>
      <c r="H133" s="26">
        <f t="shared" si="2"/>
        <v>39400</v>
      </c>
      <c r="I133" s="111">
        <f t="shared" si="3"/>
        <v>1.1193939393939394</v>
      </c>
      <c r="J133" s="69"/>
      <c r="K133" s="69"/>
      <c r="L133" s="69"/>
      <c r="M133" s="69"/>
      <c r="N133" s="69"/>
      <c r="O133" s="69"/>
      <c r="P133" s="69"/>
      <c r="Q133" s="9"/>
    </row>
    <row r="134" spans="1:17" ht="12" hidden="1" customHeight="1">
      <c r="A134" s="1"/>
      <c r="B134" s="1"/>
      <c r="C134" s="48" t="s">
        <v>19</v>
      </c>
      <c r="D134" s="62" t="s">
        <v>20</v>
      </c>
      <c r="E134" s="50">
        <v>150000</v>
      </c>
      <c r="F134" s="51">
        <v>150000</v>
      </c>
      <c r="G134" s="19"/>
      <c r="H134" s="26">
        <f t="shared" si="2"/>
        <v>0</v>
      </c>
      <c r="I134" s="111">
        <f t="shared" si="3"/>
        <v>1</v>
      </c>
      <c r="J134" s="69"/>
      <c r="K134" s="69"/>
      <c r="L134" s="69"/>
      <c r="M134" s="69"/>
      <c r="N134" s="69"/>
      <c r="O134" s="69"/>
      <c r="P134" s="69"/>
      <c r="Q134" s="9"/>
    </row>
    <row r="135" spans="1:17" ht="12" hidden="1" customHeight="1">
      <c r="A135" s="1"/>
      <c r="B135" s="1"/>
      <c r="C135" s="48" t="s">
        <v>21</v>
      </c>
      <c r="D135" s="62" t="s">
        <v>22</v>
      </c>
      <c r="E135" s="50">
        <v>3300</v>
      </c>
      <c r="F135" s="51">
        <v>3500</v>
      </c>
      <c r="G135" s="19"/>
      <c r="H135" s="26">
        <f t="shared" si="2"/>
        <v>200</v>
      </c>
      <c r="I135" s="111">
        <f t="shared" si="3"/>
        <v>1.0606060606060606</v>
      </c>
      <c r="J135" s="69"/>
      <c r="K135" s="69"/>
      <c r="L135" s="69"/>
      <c r="M135" s="69"/>
      <c r="N135" s="69"/>
      <c r="O135" s="69"/>
      <c r="P135" s="69"/>
      <c r="Q135" s="9"/>
    </row>
    <row r="136" spans="1:17" ht="12" hidden="1" customHeight="1">
      <c r="A136" s="1"/>
      <c r="B136" s="1"/>
      <c r="C136" s="48" t="s">
        <v>23</v>
      </c>
      <c r="D136" s="62" t="s">
        <v>24</v>
      </c>
      <c r="E136" s="50"/>
      <c r="F136" s="51">
        <v>0</v>
      </c>
      <c r="G136" s="19"/>
      <c r="H136" s="26">
        <f t="shared" si="2"/>
        <v>0</v>
      </c>
      <c r="I136" s="111" t="e">
        <f t="shared" si="3"/>
        <v>#DIV/0!</v>
      </c>
      <c r="J136" s="69"/>
      <c r="K136" s="69"/>
      <c r="L136" s="69"/>
      <c r="M136" s="69"/>
      <c r="N136" s="69"/>
      <c r="O136" s="69"/>
      <c r="P136" s="69"/>
      <c r="Q136" s="9"/>
    </row>
    <row r="137" spans="1:17" ht="12" hidden="1" customHeight="1">
      <c r="A137" s="1"/>
      <c r="B137" s="1"/>
      <c r="C137" s="48" t="s">
        <v>25</v>
      </c>
      <c r="D137" s="62" t="s">
        <v>26</v>
      </c>
      <c r="E137" s="50">
        <v>25850</v>
      </c>
      <c r="F137" s="51">
        <v>31023</v>
      </c>
      <c r="G137" s="19"/>
      <c r="H137" s="26">
        <f t="shared" si="2"/>
        <v>5173</v>
      </c>
      <c r="I137" s="111">
        <f t="shared" si="3"/>
        <v>1.2001160541586073</v>
      </c>
      <c r="J137" s="69"/>
      <c r="K137" s="69"/>
      <c r="L137" s="69"/>
      <c r="M137" s="69"/>
      <c r="N137" s="69"/>
      <c r="O137" s="69"/>
      <c r="P137" s="69"/>
      <c r="Q137" s="9"/>
    </row>
    <row r="138" spans="1:17" ht="12" hidden="1" customHeight="1">
      <c r="A138" s="1"/>
      <c r="B138" s="1"/>
      <c r="C138" s="48" t="s">
        <v>27</v>
      </c>
      <c r="D138" s="62" t="s">
        <v>28</v>
      </c>
      <c r="E138" s="50">
        <v>50000</v>
      </c>
      <c r="F138" s="51">
        <v>60000</v>
      </c>
      <c r="G138" s="19"/>
      <c r="H138" s="26">
        <f t="shared" ref="H138:H201" si="5">F138-E138</f>
        <v>10000</v>
      </c>
      <c r="I138" s="111">
        <f t="shared" ref="I138:I201" si="6">F138/E138</f>
        <v>1.2</v>
      </c>
      <c r="J138" s="69"/>
      <c r="K138" s="69"/>
      <c r="L138" s="69"/>
      <c r="M138" s="69"/>
      <c r="N138" s="69"/>
      <c r="O138" s="69"/>
      <c r="P138" s="69"/>
      <c r="Q138" s="9"/>
    </row>
    <row r="139" spans="1:17" ht="12" hidden="1" customHeight="1">
      <c r="A139" s="1"/>
      <c r="B139" s="1"/>
      <c r="C139" s="48" t="s">
        <v>29</v>
      </c>
      <c r="D139" s="62" t="s">
        <v>30</v>
      </c>
      <c r="E139" s="50">
        <v>264500</v>
      </c>
      <c r="F139" s="51">
        <v>685000</v>
      </c>
      <c r="G139" s="19"/>
      <c r="H139" s="26">
        <f t="shared" si="5"/>
        <v>420500</v>
      </c>
      <c r="I139" s="111">
        <f t="shared" si="6"/>
        <v>2.5897920604914932</v>
      </c>
      <c r="J139" s="69"/>
      <c r="K139" s="69"/>
      <c r="L139" s="69"/>
      <c r="M139" s="69"/>
      <c r="N139" s="69"/>
      <c r="O139" s="69"/>
      <c r="P139" s="69"/>
      <c r="Q139" s="9"/>
    </row>
    <row r="140" spans="1:17" ht="18.75" hidden="1" customHeight="1">
      <c r="A140" s="1"/>
      <c r="B140" s="1"/>
      <c r="C140" s="48" t="s">
        <v>31</v>
      </c>
      <c r="D140" s="62" t="s">
        <v>32</v>
      </c>
      <c r="E140" s="50">
        <v>1650</v>
      </c>
      <c r="F140" s="51">
        <v>1980</v>
      </c>
      <c r="G140" s="19"/>
      <c r="H140" s="26">
        <f t="shared" si="5"/>
        <v>330</v>
      </c>
      <c r="I140" s="111">
        <f t="shared" si="6"/>
        <v>1.2</v>
      </c>
      <c r="J140" s="69"/>
      <c r="K140" s="69"/>
      <c r="L140" s="69"/>
      <c r="M140" s="69"/>
      <c r="N140" s="69"/>
      <c r="O140" s="69"/>
      <c r="P140" s="69"/>
      <c r="Q140" s="9"/>
    </row>
    <row r="141" spans="1:17" ht="30" hidden="1" customHeight="1">
      <c r="A141" s="1"/>
      <c r="B141" s="1"/>
      <c r="C141" s="48" t="s">
        <v>33</v>
      </c>
      <c r="D141" s="62" t="s">
        <v>34</v>
      </c>
      <c r="E141" s="50">
        <v>5500</v>
      </c>
      <c r="F141" s="51">
        <v>6600</v>
      </c>
      <c r="G141" s="19"/>
      <c r="H141" s="26">
        <f t="shared" si="5"/>
        <v>1100</v>
      </c>
      <c r="I141" s="111">
        <f t="shared" si="6"/>
        <v>1.2</v>
      </c>
      <c r="J141" s="69"/>
      <c r="K141" s="69"/>
      <c r="L141" s="69"/>
      <c r="M141" s="69"/>
      <c r="N141" s="69"/>
      <c r="O141" s="69"/>
      <c r="P141" s="69"/>
      <c r="Q141" s="9"/>
    </row>
    <row r="142" spans="1:17" ht="22.5" hidden="1" customHeight="1">
      <c r="A142" s="1"/>
      <c r="B142" s="1"/>
      <c r="C142" s="44" t="s">
        <v>104</v>
      </c>
      <c r="D142" s="45" t="s">
        <v>113</v>
      </c>
      <c r="E142" s="46">
        <f>SUM(E143:E155)</f>
        <v>16393930</v>
      </c>
      <c r="F142" s="47">
        <f>F143+F144+F145+F146+F147+F148+F149+F150+F151+F152+F153+F154+F155</f>
        <v>16281403.642473925</v>
      </c>
      <c r="G142" s="19"/>
      <c r="H142" s="26">
        <f t="shared" si="5"/>
        <v>-112526.35752607509</v>
      </c>
      <c r="I142" s="111">
        <f t="shared" si="6"/>
        <v>0.99313609625476773</v>
      </c>
      <c r="J142" s="69"/>
      <c r="K142" s="69"/>
      <c r="L142" s="69"/>
      <c r="M142" s="69"/>
      <c r="N142" s="69"/>
      <c r="O142" s="69"/>
      <c r="P142" s="69"/>
      <c r="Q142" s="9"/>
    </row>
    <row r="143" spans="1:17" ht="12" hidden="1" customHeight="1">
      <c r="A143" s="1"/>
      <c r="B143" s="1"/>
      <c r="C143" s="48">
        <v>2111</v>
      </c>
      <c r="D143" s="62" t="s">
        <v>14</v>
      </c>
      <c r="E143" s="50">
        <f>10020010+155687.65+485212.35</f>
        <v>10660910</v>
      </c>
      <c r="F143" s="51">
        <f>11645989-G143</f>
        <v>9585544.8374390006</v>
      </c>
      <c r="G143" s="19">
        <v>2060444.1625610001</v>
      </c>
      <c r="H143" s="26">
        <f t="shared" si="5"/>
        <v>-1075365.1625609994</v>
      </c>
      <c r="I143" s="111">
        <f t="shared" si="6"/>
        <v>0.89913007777375487</v>
      </c>
      <c r="J143" s="69"/>
      <c r="K143" s="69"/>
      <c r="L143" s="69"/>
      <c r="M143" s="69"/>
      <c r="N143" s="69"/>
      <c r="O143" s="69"/>
      <c r="P143" s="69"/>
      <c r="Q143" s="9"/>
    </row>
    <row r="144" spans="1:17" ht="12" hidden="1" customHeight="1">
      <c r="A144" s="1"/>
      <c r="B144" s="1"/>
      <c r="C144" s="48">
        <v>2120</v>
      </c>
      <c r="D144" s="62" t="s">
        <v>16</v>
      </c>
      <c r="E144" s="50">
        <f>2216599+150421</f>
        <v>2367020</v>
      </c>
      <c r="F144" s="51">
        <f>2585735-G144</f>
        <v>2128258.8050349234</v>
      </c>
      <c r="G144" s="19">
        <v>457476.19496507681</v>
      </c>
      <c r="H144" s="26">
        <f t="shared" si="5"/>
        <v>-238761.19496507663</v>
      </c>
      <c r="I144" s="111">
        <f t="shared" si="6"/>
        <v>0.89913004750062242</v>
      </c>
      <c r="J144" s="69"/>
      <c r="K144" s="69"/>
      <c r="L144" s="69"/>
      <c r="M144" s="69"/>
      <c r="N144" s="69"/>
      <c r="O144" s="69"/>
      <c r="P144" s="69"/>
      <c r="Q144" s="9"/>
    </row>
    <row r="145" spans="1:17" ht="12" hidden="1" customHeight="1">
      <c r="A145" s="1"/>
      <c r="B145" s="1"/>
      <c r="C145" s="48" t="s">
        <v>17</v>
      </c>
      <c r="D145" s="62" t="s">
        <v>18</v>
      </c>
      <c r="E145" s="50">
        <v>224500</v>
      </c>
      <c r="F145" s="51">
        <v>180000</v>
      </c>
      <c r="G145" s="19"/>
      <c r="H145" s="26">
        <f t="shared" si="5"/>
        <v>-44500</v>
      </c>
      <c r="I145" s="111">
        <f t="shared" si="6"/>
        <v>0.80178173719376389</v>
      </c>
      <c r="J145" s="69"/>
      <c r="K145" s="69"/>
      <c r="L145" s="69"/>
      <c r="M145" s="69"/>
      <c r="N145" s="69"/>
      <c r="O145" s="69"/>
      <c r="P145" s="69"/>
      <c r="Q145" s="9"/>
    </row>
    <row r="146" spans="1:17" ht="12" hidden="1" customHeight="1">
      <c r="A146" s="1"/>
      <c r="B146" s="1"/>
      <c r="C146" s="48" t="s">
        <v>106</v>
      </c>
      <c r="D146" s="62" t="s">
        <v>107</v>
      </c>
      <c r="E146" s="50">
        <v>4400</v>
      </c>
      <c r="F146" s="51">
        <v>10000</v>
      </c>
      <c r="G146" s="19"/>
      <c r="H146" s="26">
        <f t="shared" si="5"/>
        <v>5600</v>
      </c>
      <c r="I146" s="111">
        <f t="shared" si="6"/>
        <v>2.2727272727272729</v>
      </c>
      <c r="J146" s="69"/>
      <c r="K146" s="69"/>
      <c r="L146" s="69"/>
      <c r="M146" s="69"/>
      <c r="N146" s="69"/>
      <c r="O146" s="69"/>
      <c r="P146" s="69"/>
      <c r="Q146" s="9"/>
    </row>
    <row r="147" spans="1:17" ht="12" hidden="1" customHeight="1">
      <c r="A147" s="1"/>
      <c r="B147" s="1"/>
      <c r="C147" s="48" t="s">
        <v>108</v>
      </c>
      <c r="D147" s="62" t="s">
        <v>109</v>
      </c>
      <c r="E147" s="50">
        <v>1375000</v>
      </c>
      <c r="F147" s="51">
        <v>2075000</v>
      </c>
      <c r="G147" s="19"/>
      <c r="H147" s="26">
        <f t="shared" si="5"/>
        <v>700000</v>
      </c>
      <c r="I147" s="111">
        <f t="shared" si="6"/>
        <v>1.509090909090909</v>
      </c>
      <c r="J147" s="69"/>
      <c r="K147" s="69"/>
      <c r="L147" s="69"/>
      <c r="M147" s="69"/>
      <c r="N147" s="69"/>
      <c r="O147" s="69"/>
      <c r="P147" s="69"/>
      <c r="Q147" s="9"/>
    </row>
    <row r="148" spans="1:17" ht="12" hidden="1" customHeight="1">
      <c r="A148" s="1"/>
      <c r="B148" s="1"/>
      <c r="C148" s="48" t="s">
        <v>19</v>
      </c>
      <c r="D148" s="62" t="s">
        <v>20</v>
      </c>
      <c r="E148" s="50">
        <v>495000</v>
      </c>
      <c r="F148" s="51">
        <v>200000</v>
      </c>
      <c r="G148" s="19"/>
      <c r="H148" s="26">
        <f t="shared" si="5"/>
        <v>-295000</v>
      </c>
      <c r="I148" s="111">
        <f t="shared" si="6"/>
        <v>0.40404040404040403</v>
      </c>
      <c r="J148" s="69"/>
      <c r="K148" s="69"/>
      <c r="L148" s="69"/>
      <c r="M148" s="69"/>
      <c r="N148" s="69"/>
      <c r="O148" s="69"/>
      <c r="P148" s="69"/>
      <c r="Q148" s="9"/>
    </row>
    <row r="149" spans="1:17" ht="12" hidden="1" customHeight="1">
      <c r="A149" s="1"/>
      <c r="B149" s="1"/>
      <c r="C149" s="48" t="s">
        <v>21</v>
      </c>
      <c r="D149" s="62" t="s">
        <v>22</v>
      </c>
      <c r="E149" s="50">
        <v>5500</v>
      </c>
      <c r="F149" s="51">
        <v>10000</v>
      </c>
      <c r="G149" s="19"/>
      <c r="H149" s="26">
        <f t="shared" si="5"/>
        <v>4500</v>
      </c>
      <c r="I149" s="111">
        <f t="shared" si="6"/>
        <v>1.8181818181818181</v>
      </c>
      <c r="J149" s="69"/>
      <c r="K149" s="69"/>
      <c r="L149" s="69"/>
      <c r="M149" s="69"/>
      <c r="N149" s="69"/>
      <c r="O149" s="69"/>
      <c r="P149" s="69"/>
      <c r="Q149" s="9"/>
    </row>
    <row r="150" spans="1:17" ht="12" hidden="1" customHeight="1">
      <c r="A150" s="1"/>
      <c r="B150" s="1"/>
      <c r="C150" s="48" t="s">
        <v>23</v>
      </c>
      <c r="D150" s="62" t="s">
        <v>24</v>
      </c>
      <c r="E150" s="50"/>
      <c r="F150" s="51">
        <v>0</v>
      </c>
      <c r="G150" s="19"/>
      <c r="H150" s="26">
        <f t="shared" si="5"/>
        <v>0</v>
      </c>
      <c r="I150" s="111" t="e">
        <f t="shared" si="6"/>
        <v>#DIV/0!</v>
      </c>
      <c r="J150" s="69"/>
      <c r="K150" s="69"/>
      <c r="L150" s="69"/>
      <c r="M150" s="69"/>
      <c r="N150" s="69"/>
      <c r="O150" s="69"/>
      <c r="P150" s="69"/>
      <c r="Q150" s="9"/>
    </row>
    <row r="151" spans="1:17" ht="12" hidden="1" customHeight="1">
      <c r="A151" s="1"/>
      <c r="B151" s="1"/>
      <c r="C151" s="48" t="s">
        <v>25</v>
      </c>
      <c r="D151" s="62" t="s">
        <v>26</v>
      </c>
      <c r="E151" s="50">
        <v>105600</v>
      </c>
      <c r="F151" s="51">
        <v>161000</v>
      </c>
      <c r="G151" s="19"/>
      <c r="H151" s="26">
        <f t="shared" si="5"/>
        <v>55400</v>
      </c>
      <c r="I151" s="111">
        <f t="shared" si="6"/>
        <v>1.5246212121212122</v>
      </c>
      <c r="J151" s="69"/>
      <c r="K151" s="69"/>
      <c r="L151" s="69"/>
      <c r="M151" s="69"/>
      <c r="N151" s="69"/>
      <c r="O151" s="69"/>
      <c r="P151" s="69"/>
      <c r="Q151" s="9"/>
    </row>
    <row r="152" spans="1:17" ht="12" hidden="1" customHeight="1">
      <c r="A152" s="1"/>
      <c r="B152" s="1"/>
      <c r="C152" s="48" t="s">
        <v>27</v>
      </c>
      <c r="D152" s="62" t="s">
        <v>28</v>
      </c>
      <c r="E152" s="50">
        <v>312500</v>
      </c>
      <c r="F152" s="51">
        <v>446200</v>
      </c>
      <c r="G152" s="19"/>
      <c r="H152" s="26">
        <f t="shared" si="5"/>
        <v>133700</v>
      </c>
      <c r="I152" s="111">
        <f t="shared" si="6"/>
        <v>1.42784</v>
      </c>
      <c r="J152" s="69"/>
      <c r="K152" s="69"/>
      <c r="L152" s="69"/>
      <c r="M152" s="69"/>
      <c r="N152" s="69"/>
      <c r="O152" s="69"/>
      <c r="P152" s="69"/>
      <c r="Q152" s="9"/>
    </row>
    <row r="153" spans="1:17" ht="12" hidden="1" customHeight="1">
      <c r="A153" s="1"/>
      <c r="B153" s="1"/>
      <c r="C153" s="48" t="s">
        <v>29</v>
      </c>
      <c r="D153" s="62" t="s">
        <v>30</v>
      </c>
      <c r="E153" s="50">
        <v>805000</v>
      </c>
      <c r="F153" s="51">
        <v>1420000</v>
      </c>
      <c r="G153" s="19"/>
      <c r="H153" s="26">
        <f t="shared" si="5"/>
        <v>615000</v>
      </c>
      <c r="I153" s="111">
        <f t="shared" si="6"/>
        <v>1.7639751552795031</v>
      </c>
      <c r="J153" s="69"/>
      <c r="K153" s="69"/>
      <c r="L153" s="69"/>
      <c r="M153" s="69"/>
      <c r="N153" s="69"/>
      <c r="O153" s="69"/>
      <c r="P153" s="69"/>
      <c r="Q153" s="9"/>
    </row>
    <row r="154" spans="1:17" ht="19.5" hidden="1" customHeight="1">
      <c r="A154" s="1"/>
      <c r="B154" s="1"/>
      <c r="C154" s="48" t="s">
        <v>31</v>
      </c>
      <c r="D154" s="62" t="s">
        <v>32</v>
      </c>
      <c r="E154" s="50">
        <v>27500</v>
      </c>
      <c r="F154" s="51">
        <v>38400</v>
      </c>
      <c r="G154" s="19"/>
      <c r="H154" s="26">
        <f t="shared" si="5"/>
        <v>10900</v>
      </c>
      <c r="I154" s="111">
        <f t="shared" si="6"/>
        <v>1.3963636363636365</v>
      </c>
      <c r="J154" s="69"/>
      <c r="K154" s="69"/>
      <c r="L154" s="69"/>
      <c r="M154" s="69"/>
      <c r="N154" s="69"/>
      <c r="O154" s="69"/>
      <c r="P154" s="69"/>
      <c r="Q154" s="9"/>
    </row>
    <row r="155" spans="1:17" ht="19.5" hidden="1" customHeight="1">
      <c r="A155" s="1"/>
      <c r="B155" s="1"/>
      <c r="C155" s="48" t="s">
        <v>33</v>
      </c>
      <c r="D155" s="62" t="s">
        <v>34</v>
      </c>
      <c r="E155" s="50">
        <v>11000</v>
      </c>
      <c r="F155" s="51">
        <v>27000</v>
      </c>
      <c r="G155" s="19"/>
      <c r="H155" s="26">
        <f t="shared" si="5"/>
        <v>16000</v>
      </c>
      <c r="I155" s="111">
        <f t="shared" si="6"/>
        <v>2.4545454545454546</v>
      </c>
      <c r="J155" s="69"/>
      <c r="K155" s="69"/>
      <c r="L155" s="69"/>
      <c r="M155" s="69"/>
      <c r="N155" s="69"/>
      <c r="O155" s="69"/>
      <c r="P155" s="69"/>
      <c r="Q155" s="9"/>
    </row>
    <row r="156" spans="1:17" ht="24" hidden="1" customHeight="1">
      <c r="A156" s="1"/>
      <c r="B156" s="1"/>
      <c r="C156" s="44" t="s">
        <v>104</v>
      </c>
      <c r="D156" s="45" t="s">
        <v>114</v>
      </c>
      <c r="E156" s="46">
        <f>SUM(E157:E169)</f>
        <v>5138800</v>
      </c>
      <c r="F156" s="47">
        <f>F157+F158+F159+F160+F161+F162+F163+F164+F165+F166+F167+F168+F169</f>
        <v>5404513.5242384616</v>
      </c>
      <c r="G156" s="19"/>
      <c r="H156" s="26">
        <f t="shared" si="5"/>
        <v>265713.52423846163</v>
      </c>
      <c r="I156" s="111">
        <f t="shared" si="6"/>
        <v>1.0517073099241967</v>
      </c>
      <c r="J156" s="69"/>
      <c r="K156" s="69"/>
      <c r="L156" s="69"/>
      <c r="M156" s="69"/>
      <c r="N156" s="69"/>
      <c r="O156" s="69"/>
      <c r="P156" s="69"/>
      <c r="Q156" s="9"/>
    </row>
    <row r="157" spans="1:17" ht="12" hidden="1" customHeight="1">
      <c r="A157" s="1"/>
      <c r="B157" s="1"/>
      <c r="C157" s="48">
        <v>2111</v>
      </c>
      <c r="D157" s="62" t="s">
        <v>14</v>
      </c>
      <c r="E157" s="50">
        <v>3000000</v>
      </c>
      <c r="F157" s="51">
        <f>3277203-G157</f>
        <v>2697390.1615384617</v>
      </c>
      <c r="G157" s="19">
        <v>579812.83846153843</v>
      </c>
      <c r="H157" s="26">
        <f t="shared" si="5"/>
        <v>-302609.83846153831</v>
      </c>
      <c r="I157" s="111">
        <f t="shared" si="6"/>
        <v>0.89913005384615385</v>
      </c>
      <c r="J157" s="69"/>
      <c r="K157" s="69"/>
      <c r="L157" s="69"/>
      <c r="M157" s="69"/>
      <c r="N157" s="69"/>
      <c r="O157" s="69"/>
      <c r="P157" s="69"/>
      <c r="Q157" s="9"/>
    </row>
    <row r="158" spans="1:17" ht="12" hidden="1" customHeight="1">
      <c r="A158" s="1"/>
      <c r="B158" s="1"/>
      <c r="C158" s="48">
        <v>2120</v>
      </c>
      <c r="D158" s="62" t="s">
        <v>16</v>
      </c>
      <c r="E158" s="50">
        <v>663000</v>
      </c>
      <c r="F158" s="51">
        <f>724262-G158</f>
        <v>596123.36270000006</v>
      </c>
      <c r="G158" s="19">
        <v>128138.63729999999</v>
      </c>
      <c r="H158" s="26">
        <f t="shared" si="5"/>
        <v>-66876.637299999944</v>
      </c>
      <c r="I158" s="111">
        <f t="shared" si="6"/>
        <v>0.89913026048265465</v>
      </c>
      <c r="J158" s="69"/>
      <c r="K158" s="69"/>
      <c r="L158" s="69"/>
      <c r="M158" s="69"/>
      <c r="N158" s="69"/>
      <c r="O158" s="69"/>
      <c r="P158" s="69"/>
      <c r="Q158" s="9"/>
    </row>
    <row r="159" spans="1:17" ht="12" hidden="1" customHeight="1">
      <c r="A159" s="1"/>
      <c r="B159" s="1"/>
      <c r="C159" s="48" t="s">
        <v>17</v>
      </c>
      <c r="D159" s="62" t="s">
        <v>18</v>
      </c>
      <c r="E159" s="50">
        <v>63000</v>
      </c>
      <c r="F159" s="51">
        <v>100000</v>
      </c>
      <c r="G159" s="19"/>
      <c r="H159" s="26">
        <f t="shared" si="5"/>
        <v>37000</v>
      </c>
      <c r="I159" s="111">
        <f t="shared" si="6"/>
        <v>1.5873015873015872</v>
      </c>
      <c r="J159" s="69"/>
      <c r="K159" s="69"/>
      <c r="L159" s="69"/>
      <c r="M159" s="69"/>
      <c r="N159" s="69"/>
      <c r="O159" s="69"/>
      <c r="P159" s="69"/>
      <c r="Q159" s="9"/>
    </row>
    <row r="160" spans="1:17" ht="12" hidden="1" customHeight="1">
      <c r="A160" s="1"/>
      <c r="B160" s="1"/>
      <c r="C160" s="48" t="s">
        <v>106</v>
      </c>
      <c r="D160" s="62" t="s">
        <v>107</v>
      </c>
      <c r="E160" s="50">
        <v>24000</v>
      </c>
      <c r="F160" s="51">
        <v>24000</v>
      </c>
      <c r="G160" s="19"/>
      <c r="H160" s="26">
        <f t="shared" si="5"/>
        <v>0</v>
      </c>
      <c r="I160" s="111">
        <f t="shared" si="6"/>
        <v>1</v>
      </c>
      <c r="J160" s="69"/>
      <c r="K160" s="69"/>
      <c r="L160" s="69"/>
      <c r="M160" s="69"/>
      <c r="N160" s="69"/>
      <c r="O160" s="69"/>
      <c r="P160" s="69"/>
      <c r="Q160" s="9"/>
    </row>
    <row r="161" spans="1:17" ht="12" hidden="1" customHeight="1">
      <c r="A161" s="1"/>
      <c r="B161" s="1"/>
      <c r="C161" s="48" t="s">
        <v>108</v>
      </c>
      <c r="D161" s="62" t="s">
        <v>109</v>
      </c>
      <c r="E161" s="50">
        <v>500000</v>
      </c>
      <c r="F161" s="51">
        <v>700000</v>
      </c>
      <c r="G161" s="19"/>
      <c r="H161" s="26">
        <f t="shared" si="5"/>
        <v>200000</v>
      </c>
      <c r="I161" s="111">
        <f t="shared" si="6"/>
        <v>1.4</v>
      </c>
      <c r="J161" s="69"/>
      <c r="K161" s="69"/>
      <c r="L161" s="69"/>
      <c r="M161" s="69"/>
      <c r="N161" s="69"/>
      <c r="O161" s="69"/>
      <c r="P161" s="69"/>
      <c r="Q161" s="9"/>
    </row>
    <row r="162" spans="1:17" ht="12" hidden="1" customHeight="1">
      <c r="A162" s="1"/>
      <c r="B162" s="1"/>
      <c r="C162" s="48" t="s">
        <v>19</v>
      </c>
      <c r="D162" s="62" t="s">
        <v>20</v>
      </c>
      <c r="E162" s="50">
        <v>185800</v>
      </c>
      <c r="F162" s="51">
        <v>150000</v>
      </c>
      <c r="G162" s="19"/>
      <c r="H162" s="26">
        <f t="shared" si="5"/>
        <v>-35800</v>
      </c>
      <c r="I162" s="111">
        <f t="shared" si="6"/>
        <v>0.8073196986006459</v>
      </c>
      <c r="J162" s="69"/>
      <c r="K162" s="69"/>
      <c r="L162" s="69"/>
      <c r="M162" s="69"/>
      <c r="N162" s="69"/>
      <c r="O162" s="69"/>
      <c r="P162" s="69"/>
      <c r="Q162" s="9"/>
    </row>
    <row r="163" spans="1:17" ht="12" hidden="1" customHeight="1">
      <c r="A163" s="1"/>
      <c r="B163" s="1"/>
      <c r="C163" s="48" t="s">
        <v>21</v>
      </c>
      <c r="D163" s="62" t="s">
        <v>22</v>
      </c>
      <c r="E163" s="50">
        <v>6000</v>
      </c>
      <c r="F163" s="51">
        <v>6000</v>
      </c>
      <c r="G163" s="19"/>
      <c r="H163" s="26">
        <f t="shared" si="5"/>
        <v>0</v>
      </c>
      <c r="I163" s="111">
        <f t="shared" si="6"/>
        <v>1</v>
      </c>
      <c r="J163" s="69"/>
      <c r="K163" s="69"/>
      <c r="L163" s="69"/>
      <c r="M163" s="69"/>
      <c r="N163" s="69"/>
      <c r="O163" s="69"/>
      <c r="P163" s="69"/>
      <c r="Q163" s="9"/>
    </row>
    <row r="164" spans="1:17" ht="12" hidden="1" customHeight="1">
      <c r="A164" s="1"/>
      <c r="B164" s="1"/>
      <c r="C164" s="48" t="s">
        <v>23</v>
      </c>
      <c r="D164" s="62" t="s">
        <v>24</v>
      </c>
      <c r="E164" s="50">
        <v>500000</v>
      </c>
      <c r="F164" s="51">
        <v>900000</v>
      </c>
      <c r="G164" s="19"/>
      <c r="H164" s="26">
        <f t="shared" si="5"/>
        <v>400000</v>
      </c>
      <c r="I164" s="111">
        <f t="shared" si="6"/>
        <v>1.8</v>
      </c>
      <c r="J164" s="69"/>
      <c r="K164" s="69"/>
      <c r="L164" s="69"/>
      <c r="M164" s="69"/>
      <c r="N164" s="69"/>
      <c r="O164" s="69"/>
      <c r="P164" s="69"/>
      <c r="Q164" s="9"/>
    </row>
    <row r="165" spans="1:17" ht="12" hidden="1" customHeight="1">
      <c r="A165" s="1"/>
      <c r="B165" s="1"/>
      <c r="C165" s="48" t="s">
        <v>25</v>
      </c>
      <c r="D165" s="62" t="s">
        <v>26</v>
      </c>
      <c r="E165" s="50">
        <v>28000</v>
      </c>
      <c r="F165" s="51">
        <v>40000</v>
      </c>
      <c r="G165" s="19"/>
      <c r="H165" s="26">
        <f t="shared" si="5"/>
        <v>12000</v>
      </c>
      <c r="I165" s="111">
        <f t="shared" si="6"/>
        <v>1.4285714285714286</v>
      </c>
      <c r="J165" s="69"/>
      <c r="K165" s="69"/>
      <c r="L165" s="69"/>
      <c r="M165" s="69"/>
      <c r="N165" s="69"/>
      <c r="O165" s="69"/>
      <c r="P165" s="69"/>
      <c r="Q165" s="9"/>
    </row>
    <row r="166" spans="1:17" ht="12" hidden="1" customHeight="1">
      <c r="A166" s="1"/>
      <c r="B166" s="1"/>
      <c r="C166" s="48" t="s">
        <v>27</v>
      </c>
      <c r="D166" s="62" t="s">
        <v>28</v>
      </c>
      <c r="E166" s="50">
        <v>140000</v>
      </c>
      <c r="F166" s="51">
        <v>160000</v>
      </c>
      <c r="G166" s="19"/>
      <c r="H166" s="26">
        <f t="shared" si="5"/>
        <v>20000</v>
      </c>
      <c r="I166" s="111">
        <f t="shared" si="6"/>
        <v>1.1428571428571428</v>
      </c>
      <c r="J166" s="69"/>
      <c r="K166" s="69"/>
      <c r="L166" s="69"/>
      <c r="M166" s="69"/>
      <c r="N166" s="69"/>
      <c r="O166" s="69"/>
      <c r="P166" s="69"/>
      <c r="Q166" s="9"/>
    </row>
    <row r="167" spans="1:17" ht="12" hidden="1" customHeight="1">
      <c r="A167" s="1"/>
      <c r="B167" s="1"/>
      <c r="C167" s="48" t="s">
        <v>29</v>
      </c>
      <c r="D167" s="62" t="s">
        <v>30</v>
      </c>
      <c r="E167" s="50"/>
      <c r="F167" s="51">
        <v>0</v>
      </c>
      <c r="G167" s="19"/>
      <c r="H167" s="26">
        <f t="shared" si="5"/>
        <v>0</v>
      </c>
      <c r="I167" s="111" t="e">
        <f t="shared" si="6"/>
        <v>#DIV/0!</v>
      </c>
      <c r="J167" s="69"/>
      <c r="K167" s="69"/>
      <c r="L167" s="69"/>
      <c r="M167" s="69"/>
      <c r="N167" s="69"/>
      <c r="O167" s="69"/>
      <c r="P167" s="69"/>
      <c r="Q167" s="9"/>
    </row>
    <row r="168" spans="1:17" ht="18.75" hidden="1" customHeight="1">
      <c r="A168" s="1"/>
      <c r="B168" s="1"/>
      <c r="C168" s="48" t="s">
        <v>31</v>
      </c>
      <c r="D168" s="62" t="s">
        <v>32</v>
      </c>
      <c r="E168" s="50">
        <v>20000</v>
      </c>
      <c r="F168" s="51">
        <v>22000</v>
      </c>
      <c r="G168" s="19"/>
      <c r="H168" s="26">
        <f t="shared" si="5"/>
        <v>2000</v>
      </c>
      <c r="I168" s="111">
        <f t="shared" si="6"/>
        <v>1.1000000000000001</v>
      </c>
      <c r="J168" s="69"/>
      <c r="K168" s="69"/>
      <c r="L168" s="69"/>
      <c r="M168" s="69"/>
      <c r="N168" s="69"/>
      <c r="O168" s="69"/>
      <c r="P168" s="69"/>
      <c r="Q168" s="9"/>
    </row>
    <row r="169" spans="1:17" ht="28.5" hidden="1" customHeight="1">
      <c r="A169" s="1"/>
      <c r="B169" s="1"/>
      <c r="C169" s="48" t="s">
        <v>33</v>
      </c>
      <c r="D169" s="62" t="s">
        <v>34</v>
      </c>
      <c r="E169" s="50">
        <v>9000</v>
      </c>
      <c r="F169" s="51">
        <v>9000</v>
      </c>
      <c r="G169" s="19"/>
      <c r="H169" s="26">
        <f t="shared" si="5"/>
        <v>0</v>
      </c>
      <c r="I169" s="111">
        <f t="shared" si="6"/>
        <v>1</v>
      </c>
      <c r="J169" s="69"/>
      <c r="K169" s="69"/>
      <c r="L169" s="69"/>
      <c r="M169" s="69"/>
      <c r="N169" s="69"/>
      <c r="O169" s="69"/>
      <c r="P169" s="69"/>
      <c r="Q169" s="9"/>
    </row>
    <row r="170" spans="1:17" ht="12" hidden="1" customHeight="1">
      <c r="A170" s="1"/>
      <c r="B170" s="1"/>
      <c r="C170" s="44" t="s">
        <v>104</v>
      </c>
      <c r="D170" s="45" t="s">
        <v>115</v>
      </c>
      <c r="E170" s="46">
        <f>SUM(E171:E183)</f>
        <v>13789566</v>
      </c>
      <c r="F170" s="47">
        <f>F171+F172+F173+F174+F175+F176+F177+F178+F179+F180+F181+F182+F183</f>
        <v>13548108.306237055</v>
      </c>
      <c r="G170" s="19"/>
      <c r="H170" s="26">
        <f t="shared" si="5"/>
        <v>-241457.69376294501</v>
      </c>
      <c r="I170" s="111">
        <f t="shared" si="6"/>
        <v>0.9824898264555284</v>
      </c>
      <c r="J170" s="69"/>
      <c r="K170" s="69"/>
      <c r="L170" s="69"/>
      <c r="M170" s="69"/>
      <c r="N170" s="69"/>
      <c r="O170" s="69"/>
      <c r="P170" s="69"/>
      <c r="Q170" s="9"/>
    </row>
    <row r="171" spans="1:17" ht="12" hidden="1" customHeight="1">
      <c r="A171" s="1"/>
      <c r="B171" s="1"/>
      <c r="C171" s="48">
        <v>2111</v>
      </c>
      <c r="D171" s="62" t="s">
        <v>14</v>
      </c>
      <c r="E171" s="50">
        <f>8591850+483975</f>
        <v>9075825</v>
      </c>
      <c r="F171" s="51">
        <f>9914440-G171</f>
        <v>8160346.7151232697</v>
      </c>
      <c r="G171" s="19">
        <v>1754093.2848767308</v>
      </c>
      <c r="H171" s="26">
        <f t="shared" si="5"/>
        <v>-915478.28487673029</v>
      </c>
      <c r="I171" s="111">
        <f t="shared" si="6"/>
        <v>0.89913002014949273</v>
      </c>
      <c r="J171" s="69"/>
      <c r="K171" s="69"/>
      <c r="L171" s="69"/>
      <c r="M171" s="69"/>
      <c r="N171" s="69"/>
      <c r="O171" s="69"/>
      <c r="P171" s="69"/>
      <c r="Q171" s="9"/>
    </row>
    <row r="172" spans="1:17" ht="12" hidden="1" customHeight="1">
      <c r="A172" s="1"/>
      <c r="B172" s="1"/>
      <c r="C172" s="48">
        <v>2120</v>
      </c>
      <c r="D172" s="62" t="s">
        <v>16</v>
      </c>
      <c r="E172" s="50">
        <f>1744490+256206</f>
        <v>2000696</v>
      </c>
      <c r="F172" s="51">
        <f>2185562-G172</f>
        <v>1798885.5911137846</v>
      </c>
      <c r="G172" s="19">
        <v>386676.40888621536</v>
      </c>
      <c r="H172" s="26">
        <f t="shared" si="5"/>
        <v>-201810.40888621542</v>
      </c>
      <c r="I172" s="111">
        <f t="shared" si="6"/>
        <v>0.89912989835226576</v>
      </c>
      <c r="J172" s="69"/>
      <c r="K172" s="69"/>
      <c r="L172" s="69"/>
      <c r="M172" s="69"/>
      <c r="N172" s="69"/>
      <c r="O172" s="69"/>
      <c r="P172" s="69"/>
      <c r="Q172" s="9"/>
    </row>
    <row r="173" spans="1:17" ht="12" hidden="1" customHeight="1">
      <c r="A173" s="1"/>
      <c r="B173" s="1"/>
      <c r="C173" s="48" t="s">
        <v>17</v>
      </c>
      <c r="D173" s="62" t="s">
        <v>18</v>
      </c>
      <c r="E173" s="50">
        <v>178000</v>
      </c>
      <c r="F173" s="51">
        <v>200000</v>
      </c>
      <c r="G173" s="19"/>
      <c r="H173" s="26">
        <f t="shared" si="5"/>
        <v>22000</v>
      </c>
      <c r="I173" s="111">
        <f t="shared" si="6"/>
        <v>1.1235955056179776</v>
      </c>
      <c r="J173" s="69"/>
      <c r="K173" s="69"/>
      <c r="L173" s="69"/>
      <c r="M173" s="69"/>
      <c r="N173" s="69"/>
      <c r="O173" s="69"/>
      <c r="P173" s="69"/>
      <c r="Q173" s="9"/>
    </row>
    <row r="174" spans="1:17" ht="12" hidden="1" customHeight="1">
      <c r="A174" s="1"/>
      <c r="B174" s="1"/>
      <c r="C174" s="48" t="s">
        <v>106</v>
      </c>
      <c r="D174" s="62" t="s">
        <v>107</v>
      </c>
      <c r="E174" s="50">
        <v>4400</v>
      </c>
      <c r="F174" s="51">
        <v>10000</v>
      </c>
      <c r="G174" s="19"/>
      <c r="H174" s="26">
        <f t="shared" si="5"/>
        <v>5600</v>
      </c>
      <c r="I174" s="111">
        <f t="shared" si="6"/>
        <v>2.2727272727272729</v>
      </c>
      <c r="J174" s="69"/>
      <c r="K174" s="69"/>
      <c r="L174" s="69"/>
      <c r="M174" s="69"/>
      <c r="N174" s="69"/>
      <c r="O174" s="69"/>
      <c r="P174" s="69"/>
      <c r="Q174" s="9"/>
    </row>
    <row r="175" spans="1:17" ht="12" hidden="1" customHeight="1">
      <c r="A175" s="1"/>
      <c r="B175" s="1"/>
      <c r="C175" s="48" t="s">
        <v>108</v>
      </c>
      <c r="D175" s="62" t="s">
        <v>109</v>
      </c>
      <c r="E175" s="50">
        <v>998230</v>
      </c>
      <c r="F175" s="51">
        <v>1200000</v>
      </c>
      <c r="G175" s="19"/>
      <c r="H175" s="26">
        <f t="shared" si="5"/>
        <v>201770</v>
      </c>
      <c r="I175" s="111">
        <f t="shared" si="6"/>
        <v>1.2021277661460785</v>
      </c>
      <c r="J175" s="69"/>
      <c r="K175" s="69"/>
      <c r="L175" s="69"/>
      <c r="M175" s="69"/>
      <c r="N175" s="69"/>
      <c r="O175" s="69"/>
      <c r="P175" s="69"/>
      <c r="Q175" s="9"/>
    </row>
    <row r="176" spans="1:17" ht="12" hidden="1" customHeight="1">
      <c r="A176" s="1"/>
      <c r="B176" s="1"/>
      <c r="C176" s="48" t="s">
        <v>19</v>
      </c>
      <c r="D176" s="62" t="s">
        <v>20</v>
      </c>
      <c r="E176" s="50">
        <v>400000</v>
      </c>
      <c r="F176" s="51">
        <v>350000</v>
      </c>
      <c r="G176" s="19"/>
      <c r="H176" s="26">
        <f t="shared" si="5"/>
        <v>-50000</v>
      </c>
      <c r="I176" s="111">
        <f t="shared" si="6"/>
        <v>0.875</v>
      </c>
      <c r="J176" s="69"/>
      <c r="K176" s="69"/>
      <c r="L176" s="69"/>
      <c r="M176" s="69"/>
      <c r="N176" s="69"/>
      <c r="O176" s="69"/>
      <c r="P176" s="69"/>
      <c r="Q176" s="9"/>
    </row>
    <row r="177" spans="1:17" ht="12" hidden="1" customHeight="1">
      <c r="A177" s="1"/>
      <c r="B177" s="1"/>
      <c r="C177" s="48" t="s">
        <v>21</v>
      </c>
      <c r="D177" s="62" t="s">
        <v>22</v>
      </c>
      <c r="E177" s="50">
        <v>5470</v>
      </c>
      <c r="F177" s="51">
        <v>10000</v>
      </c>
      <c r="G177" s="19"/>
      <c r="H177" s="26">
        <f t="shared" si="5"/>
        <v>4530</v>
      </c>
      <c r="I177" s="111">
        <f t="shared" si="6"/>
        <v>1.8281535648994516</v>
      </c>
      <c r="J177" s="69"/>
      <c r="K177" s="69"/>
      <c r="L177" s="69"/>
      <c r="M177" s="69"/>
      <c r="N177" s="69"/>
      <c r="O177" s="69"/>
      <c r="P177" s="69"/>
      <c r="Q177" s="9"/>
    </row>
    <row r="178" spans="1:17" ht="12" hidden="1" customHeight="1">
      <c r="A178" s="1"/>
      <c r="B178" s="1"/>
      <c r="C178" s="48" t="s">
        <v>23</v>
      </c>
      <c r="D178" s="62" t="s">
        <v>24</v>
      </c>
      <c r="E178" s="50"/>
      <c r="F178" s="51">
        <v>0</v>
      </c>
      <c r="G178" s="19"/>
      <c r="H178" s="26">
        <f t="shared" si="5"/>
        <v>0</v>
      </c>
      <c r="I178" s="111" t="e">
        <f t="shared" si="6"/>
        <v>#DIV/0!</v>
      </c>
      <c r="J178" s="69"/>
      <c r="K178" s="69"/>
      <c r="L178" s="69"/>
      <c r="M178" s="69"/>
      <c r="N178" s="69"/>
      <c r="O178" s="69"/>
      <c r="P178" s="69"/>
      <c r="Q178" s="9"/>
    </row>
    <row r="179" spans="1:17" ht="12" hidden="1" customHeight="1">
      <c r="A179" s="1"/>
      <c r="B179" s="1"/>
      <c r="C179" s="48" t="s">
        <v>25</v>
      </c>
      <c r="D179" s="62" t="s">
        <v>26</v>
      </c>
      <c r="E179" s="50">
        <v>88000</v>
      </c>
      <c r="F179" s="51">
        <v>144956</v>
      </c>
      <c r="G179" s="19"/>
      <c r="H179" s="26">
        <f t="shared" si="5"/>
        <v>56956</v>
      </c>
      <c r="I179" s="111">
        <f t="shared" si="6"/>
        <v>1.6472272727272728</v>
      </c>
      <c r="J179" s="69"/>
      <c r="K179" s="69"/>
      <c r="L179" s="69"/>
      <c r="M179" s="69"/>
      <c r="N179" s="69"/>
      <c r="O179" s="69"/>
      <c r="P179" s="69"/>
      <c r="Q179" s="9"/>
    </row>
    <row r="180" spans="1:17" ht="12" hidden="1" customHeight="1">
      <c r="A180" s="1"/>
      <c r="B180" s="1"/>
      <c r="C180" s="48" t="s">
        <v>27</v>
      </c>
      <c r="D180" s="62" t="s">
        <v>28</v>
      </c>
      <c r="E180" s="50">
        <v>275000</v>
      </c>
      <c r="F180" s="51">
        <v>290000</v>
      </c>
      <c r="G180" s="19"/>
      <c r="H180" s="26">
        <f t="shared" si="5"/>
        <v>15000</v>
      </c>
      <c r="I180" s="111">
        <f t="shared" si="6"/>
        <v>1.0545454545454545</v>
      </c>
      <c r="J180" s="69"/>
      <c r="K180" s="69"/>
      <c r="L180" s="69"/>
      <c r="M180" s="69"/>
      <c r="N180" s="69"/>
      <c r="O180" s="69"/>
      <c r="P180" s="69"/>
      <c r="Q180" s="9"/>
    </row>
    <row r="181" spans="1:17" ht="12" hidden="1" customHeight="1">
      <c r="A181" s="1"/>
      <c r="B181" s="1"/>
      <c r="C181" s="48" t="s">
        <v>29</v>
      </c>
      <c r="D181" s="62" t="s">
        <v>30</v>
      </c>
      <c r="E181" s="50">
        <v>747500</v>
      </c>
      <c r="F181" s="51">
        <v>1357920</v>
      </c>
      <c r="G181" s="19"/>
      <c r="H181" s="26">
        <f t="shared" si="5"/>
        <v>610420</v>
      </c>
      <c r="I181" s="111">
        <f t="shared" si="6"/>
        <v>1.8166153846153845</v>
      </c>
      <c r="J181" s="69"/>
      <c r="K181" s="69"/>
      <c r="L181" s="69"/>
      <c r="M181" s="69"/>
      <c r="N181" s="69"/>
      <c r="O181" s="69"/>
      <c r="P181" s="69"/>
      <c r="Q181" s="9"/>
    </row>
    <row r="182" spans="1:17" ht="14.25" hidden="1" customHeight="1">
      <c r="A182" s="1"/>
      <c r="B182" s="1"/>
      <c r="C182" s="48" t="s">
        <v>31</v>
      </c>
      <c r="D182" s="62" t="s">
        <v>32</v>
      </c>
      <c r="E182" s="50">
        <v>12210</v>
      </c>
      <c r="F182" s="51">
        <v>15000</v>
      </c>
      <c r="G182" s="19"/>
      <c r="H182" s="26">
        <f t="shared" si="5"/>
        <v>2790</v>
      </c>
      <c r="I182" s="111">
        <f t="shared" si="6"/>
        <v>1.2285012285012284</v>
      </c>
      <c r="J182" s="69"/>
      <c r="K182" s="69"/>
      <c r="L182" s="69"/>
      <c r="M182" s="69"/>
      <c r="N182" s="69"/>
      <c r="O182" s="69"/>
      <c r="P182" s="69"/>
      <c r="Q182" s="9"/>
    </row>
    <row r="183" spans="1:17" ht="24.75" hidden="1" customHeight="1">
      <c r="A183" s="1"/>
      <c r="B183" s="1"/>
      <c r="C183" s="48" t="s">
        <v>33</v>
      </c>
      <c r="D183" s="62" t="s">
        <v>34</v>
      </c>
      <c r="E183" s="50">
        <v>4235</v>
      </c>
      <c r="F183" s="51">
        <v>11000</v>
      </c>
      <c r="G183" s="19"/>
      <c r="H183" s="26">
        <f t="shared" si="5"/>
        <v>6765</v>
      </c>
      <c r="I183" s="111">
        <f t="shared" si="6"/>
        <v>2.5974025974025974</v>
      </c>
      <c r="J183" s="69"/>
      <c r="K183" s="69"/>
      <c r="L183" s="69"/>
      <c r="M183" s="69"/>
      <c r="N183" s="69"/>
      <c r="O183" s="69"/>
      <c r="P183" s="69"/>
      <c r="Q183" s="9"/>
    </row>
    <row r="184" spans="1:17" ht="12" hidden="1" customHeight="1">
      <c r="A184" s="1"/>
      <c r="B184" s="1"/>
      <c r="C184" s="44">
        <v>611010</v>
      </c>
      <c r="D184" s="45" t="s">
        <v>116</v>
      </c>
      <c r="E184" s="46">
        <f>SUM(E185:E197)</f>
        <v>1481300</v>
      </c>
      <c r="F184" s="47">
        <f>F185+F186+F187+F188+F189+F190+F191+F192+F193+F194+F195+F196+F197</f>
        <v>1730528</v>
      </c>
      <c r="G184" s="19"/>
      <c r="H184" s="26">
        <f t="shared" si="5"/>
        <v>249228</v>
      </c>
      <c r="I184" s="111">
        <f t="shared" si="6"/>
        <v>1.1682495105650441</v>
      </c>
      <c r="J184" s="69"/>
      <c r="K184" s="69"/>
      <c r="L184" s="69"/>
      <c r="M184" s="69"/>
      <c r="N184" s="69"/>
      <c r="O184" s="69"/>
      <c r="P184" s="69"/>
      <c r="Q184" s="9"/>
    </row>
    <row r="185" spans="1:17" ht="12" hidden="1" customHeight="1">
      <c r="A185" s="1"/>
      <c r="B185" s="1"/>
      <c r="C185" s="48">
        <v>2111</v>
      </c>
      <c r="D185" s="62" t="s">
        <v>14</v>
      </c>
      <c r="E185" s="50">
        <v>1032600</v>
      </c>
      <c r="F185" s="51">
        <v>1128013</v>
      </c>
      <c r="G185" s="19"/>
      <c r="H185" s="26">
        <f t="shared" si="5"/>
        <v>95413</v>
      </c>
      <c r="I185" s="111">
        <f t="shared" si="6"/>
        <v>1.092400736006198</v>
      </c>
      <c r="J185" s="69"/>
      <c r="K185" s="69"/>
      <c r="L185" s="69"/>
      <c r="M185" s="69"/>
      <c r="N185" s="69"/>
      <c r="O185" s="69"/>
      <c r="P185" s="69"/>
      <c r="Q185" s="9"/>
    </row>
    <row r="186" spans="1:17" ht="12" hidden="1" customHeight="1">
      <c r="A186" s="1"/>
      <c r="B186" s="1"/>
      <c r="C186" s="48">
        <v>2120</v>
      </c>
      <c r="D186" s="62" t="s">
        <v>16</v>
      </c>
      <c r="E186" s="50">
        <v>223100</v>
      </c>
      <c r="F186" s="51">
        <v>243715</v>
      </c>
      <c r="G186" s="19"/>
      <c r="H186" s="26">
        <f t="shared" si="5"/>
        <v>20615</v>
      </c>
      <c r="I186" s="111">
        <f t="shared" si="6"/>
        <v>1.0924025100851635</v>
      </c>
      <c r="J186" s="69"/>
      <c r="K186" s="69"/>
      <c r="L186" s="69"/>
      <c r="M186" s="69"/>
      <c r="N186" s="69"/>
      <c r="O186" s="69"/>
      <c r="P186" s="69"/>
      <c r="Q186" s="9"/>
    </row>
    <row r="187" spans="1:17" ht="12" hidden="1" customHeight="1">
      <c r="A187" s="1"/>
      <c r="B187" s="1"/>
      <c r="C187" s="48" t="s">
        <v>17</v>
      </c>
      <c r="D187" s="62" t="s">
        <v>18</v>
      </c>
      <c r="E187" s="50">
        <v>35000</v>
      </c>
      <c r="F187" s="51">
        <v>40000</v>
      </c>
      <c r="G187" s="19"/>
      <c r="H187" s="26">
        <f t="shared" si="5"/>
        <v>5000</v>
      </c>
      <c r="I187" s="111">
        <f t="shared" si="6"/>
        <v>1.1428571428571428</v>
      </c>
      <c r="J187" s="69"/>
      <c r="K187" s="69"/>
      <c r="L187" s="69"/>
      <c r="M187" s="69"/>
      <c r="N187" s="69"/>
      <c r="O187" s="69"/>
      <c r="P187" s="69"/>
      <c r="Q187" s="9"/>
    </row>
    <row r="188" spans="1:17" ht="12" hidden="1" customHeight="1">
      <c r="A188" s="1"/>
      <c r="B188" s="1"/>
      <c r="C188" s="48" t="s">
        <v>106</v>
      </c>
      <c r="D188" s="62" t="s">
        <v>107</v>
      </c>
      <c r="E188" s="50"/>
      <c r="F188" s="51">
        <v>5000</v>
      </c>
      <c r="G188" s="19"/>
      <c r="H188" s="26">
        <f t="shared" si="5"/>
        <v>5000</v>
      </c>
      <c r="I188" s="111" t="e">
        <f t="shared" si="6"/>
        <v>#DIV/0!</v>
      </c>
      <c r="J188" s="69"/>
      <c r="K188" s="69"/>
      <c r="L188" s="69"/>
      <c r="M188" s="69"/>
      <c r="N188" s="69"/>
      <c r="O188" s="69"/>
      <c r="P188" s="69"/>
      <c r="Q188" s="9"/>
    </row>
    <row r="189" spans="1:17" ht="12" hidden="1" customHeight="1">
      <c r="A189" s="1"/>
      <c r="B189" s="1"/>
      <c r="C189" s="48" t="s">
        <v>108</v>
      </c>
      <c r="D189" s="62" t="s">
        <v>109</v>
      </c>
      <c r="E189" s="50">
        <v>78600</v>
      </c>
      <c r="F189" s="51">
        <v>120000</v>
      </c>
      <c r="G189" s="19"/>
      <c r="H189" s="26">
        <f t="shared" si="5"/>
        <v>41400</v>
      </c>
      <c r="I189" s="111">
        <f t="shared" si="6"/>
        <v>1.5267175572519085</v>
      </c>
      <c r="J189" s="69"/>
      <c r="K189" s="69"/>
      <c r="L189" s="69"/>
      <c r="M189" s="69"/>
      <c r="N189" s="69"/>
      <c r="O189" s="69"/>
      <c r="P189" s="69"/>
      <c r="Q189" s="9"/>
    </row>
    <row r="190" spans="1:17" ht="12" hidden="1" customHeight="1">
      <c r="A190" s="1"/>
      <c r="B190" s="1"/>
      <c r="C190" s="48" t="s">
        <v>19</v>
      </c>
      <c r="D190" s="62" t="s">
        <v>20</v>
      </c>
      <c r="E190" s="50">
        <v>40000</v>
      </c>
      <c r="F190" s="51">
        <v>70000</v>
      </c>
      <c r="G190" s="19"/>
      <c r="H190" s="26">
        <f t="shared" si="5"/>
        <v>30000</v>
      </c>
      <c r="I190" s="111">
        <f t="shared" si="6"/>
        <v>1.75</v>
      </c>
      <c r="J190" s="69"/>
      <c r="K190" s="69"/>
      <c r="L190" s="69"/>
      <c r="M190" s="69"/>
      <c r="N190" s="69"/>
      <c r="O190" s="69"/>
      <c r="P190" s="69"/>
      <c r="Q190" s="9"/>
    </row>
    <row r="191" spans="1:17" ht="12" hidden="1" customHeight="1">
      <c r="A191" s="1"/>
      <c r="B191" s="1"/>
      <c r="C191" s="48" t="s">
        <v>21</v>
      </c>
      <c r="D191" s="62" t="s">
        <v>22</v>
      </c>
      <c r="E191" s="50"/>
      <c r="F191" s="51">
        <v>0</v>
      </c>
      <c r="G191" s="19"/>
      <c r="H191" s="26">
        <f t="shared" si="5"/>
        <v>0</v>
      </c>
      <c r="I191" s="111" t="e">
        <f t="shared" si="6"/>
        <v>#DIV/0!</v>
      </c>
      <c r="J191" s="69"/>
      <c r="K191" s="69"/>
      <c r="L191" s="69"/>
      <c r="M191" s="69"/>
      <c r="N191" s="69"/>
      <c r="O191" s="69"/>
      <c r="P191" s="69"/>
      <c r="Q191" s="9"/>
    </row>
    <row r="192" spans="1:17" ht="12" hidden="1" customHeight="1">
      <c r="A192" s="1"/>
      <c r="B192" s="1"/>
      <c r="C192" s="48" t="s">
        <v>23</v>
      </c>
      <c r="D192" s="62" t="s">
        <v>24</v>
      </c>
      <c r="E192" s="50"/>
      <c r="F192" s="51">
        <v>0</v>
      </c>
      <c r="G192" s="19"/>
      <c r="H192" s="26">
        <f t="shared" si="5"/>
        <v>0</v>
      </c>
      <c r="I192" s="111" t="e">
        <f t="shared" si="6"/>
        <v>#DIV/0!</v>
      </c>
      <c r="J192" s="69"/>
      <c r="K192" s="69"/>
      <c r="L192" s="69"/>
      <c r="M192" s="69"/>
      <c r="N192" s="69"/>
      <c r="O192" s="69"/>
      <c r="P192" s="69"/>
      <c r="Q192" s="9"/>
    </row>
    <row r="193" spans="1:17" ht="12" hidden="1" customHeight="1">
      <c r="A193" s="1"/>
      <c r="B193" s="1"/>
      <c r="C193" s="48" t="s">
        <v>25</v>
      </c>
      <c r="D193" s="62" t="s">
        <v>26</v>
      </c>
      <c r="E193" s="50"/>
      <c r="F193" s="51">
        <v>10000</v>
      </c>
      <c r="G193" s="19"/>
      <c r="H193" s="26">
        <f t="shared" si="5"/>
        <v>10000</v>
      </c>
      <c r="I193" s="111" t="e">
        <f t="shared" si="6"/>
        <v>#DIV/0!</v>
      </c>
      <c r="J193" s="69"/>
      <c r="K193" s="69"/>
      <c r="L193" s="69"/>
      <c r="M193" s="69"/>
      <c r="N193" s="69"/>
      <c r="O193" s="69"/>
      <c r="P193" s="69"/>
      <c r="Q193" s="9"/>
    </row>
    <row r="194" spans="1:17" ht="12" hidden="1" customHeight="1">
      <c r="A194" s="1"/>
      <c r="B194" s="1"/>
      <c r="C194" s="48" t="s">
        <v>27</v>
      </c>
      <c r="D194" s="62" t="s">
        <v>28</v>
      </c>
      <c r="E194" s="50">
        <v>19700</v>
      </c>
      <c r="F194" s="51">
        <v>28400</v>
      </c>
      <c r="G194" s="19"/>
      <c r="H194" s="26">
        <f t="shared" si="5"/>
        <v>8700</v>
      </c>
      <c r="I194" s="111">
        <f t="shared" si="6"/>
        <v>1.4416243654822336</v>
      </c>
      <c r="J194" s="69"/>
      <c r="K194" s="69"/>
      <c r="L194" s="69"/>
      <c r="M194" s="69"/>
      <c r="N194" s="69"/>
      <c r="O194" s="69"/>
      <c r="P194" s="69"/>
      <c r="Q194" s="9"/>
    </row>
    <row r="195" spans="1:17" ht="12" hidden="1" customHeight="1">
      <c r="A195" s="1"/>
      <c r="B195" s="1"/>
      <c r="C195" s="48" t="s">
        <v>29</v>
      </c>
      <c r="D195" s="62" t="s">
        <v>30</v>
      </c>
      <c r="E195" s="50">
        <v>41300</v>
      </c>
      <c r="F195" s="51">
        <v>70400</v>
      </c>
      <c r="G195" s="19"/>
      <c r="H195" s="26">
        <f t="shared" si="5"/>
        <v>29100</v>
      </c>
      <c r="I195" s="111">
        <f t="shared" si="6"/>
        <v>1.7046004842615012</v>
      </c>
      <c r="J195" s="69"/>
      <c r="K195" s="69"/>
      <c r="L195" s="69"/>
      <c r="M195" s="69"/>
      <c r="N195" s="69"/>
      <c r="O195" s="69"/>
      <c r="P195" s="69"/>
      <c r="Q195" s="9"/>
    </row>
    <row r="196" spans="1:17" ht="23.25" hidden="1" customHeight="1">
      <c r="A196" s="1"/>
      <c r="B196" s="1"/>
      <c r="C196" s="48" t="s">
        <v>31</v>
      </c>
      <c r="D196" s="62" t="s">
        <v>32</v>
      </c>
      <c r="E196" s="50">
        <v>11000</v>
      </c>
      <c r="F196" s="51">
        <v>15000</v>
      </c>
      <c r="G196" s="19"/>
      <c r="H196" s="26">
        <f t="shared" si="5"/>
        <v>4000</v>
      </c>
      <c r="I196" s="111">
        <f t="shared" si="6"/>
        <v>1.3636363636363635</v>
      </c>
      <c r="J196" s="69"/>
      <c r="K196" s="69"/>
      <c r="L196" s="69"/>
      <c r="M196" s="69"/>
      <c r="N196" s="69"/>
      <c r="O196" s="69"/>
      <c r="P196" s="69"/>
      <c r="Q196" s="9"/>
    </row>
    <row r="197" spans="1:17" ht="31.5" hidden="1" customHeight="1">
      <c r="A197" s="1"/>
      <c r="B197" s="1"/>
      <c r="C197" s="48" t="s">
        <v>33</v>
      </c>
      <c r="D197" s="62" t="s">
        <v>34</v>
      </c>
      <c r="E197" s="50"/>
      <c r="F197" s="51">
        <v>0</v>
      </c>
      <c r="G197" s="19"/>
      <c r="H197" s="26">
        <f t="shared" si="5"/>
        <v>0</v>
      </c>
      <c r="I197" s="111" t="e">
        <f t="shared" si="6"/>
        <v>#DIV/0!</v>
      </c>
      <c r="J197" s="69"/>
      <c r="K197" s="69"/>
      <c r="L197" s="69"/>
      <c r="M197" s="69"/>
      <c r="N197" s="69"/>
      <c r="O197" s="69"/>
      <c r="P197" s="69"/>
      <c r="Q197" s="9"/>
    </row>
    <row r="198" spans="1:17" ht="16.5" hidden="1" customHeight="1">
      <c r="A198" s="1"/>
      <c r="B198" s="1"/>
      <c r="C198" s="44">
        <v>611010</v>
      </c>
      <c r="D198" s="45" t="s">
        <v>117</v>
      </c>
      <c r="E198" s="46">
        <f>SUM(E199:E211)</f>
        <v>7068140</v>
      </c>
      <c r="F198" s="47">
        <f>F199+F200+F201+F202+F203+F204+F205+F206+F207+F208+F209+F210+F211</f>
        <v>7542121.8531467691</v>
      </c>
      <c r="G198" s="19"/>
      <c r="H198" s="26">
        <f t="shared" si="5"/>
        <v>473981.85314676911</v>
      </c>
      <c r="I198" s="111">
        <f t="shared" si="6"/>
        <v>1.0670589225944547</v>
      </c>
      <c r="J198" s="69"/>
      <c r="K198" s="69"/>
      <c r="L198" s="69"/>
      <c r="M198" s="69"/>
      <c r="N198" s="69"/>
      <c r="O198" s="69"/>
      <c r="P198" s="69"/>
      <c r="Q198" s="9"/>
    </row>
    <row r="199" spans="1:17" ht="12" hidden="1" customHeight="1">
      <c r="A199" s="1"/>
      <c r="B199" s="1"/>
      <c r="C199" s="48">
        <v>2111</v>
      </c>
      <c r="D199" s="62" t="s">
        <v>14</v>
      </c>
      <c r="E199" s="50">
        <f>4325630+210000</f>
        <v>4535630</v>
      </c>
      <c r="F199" s="51">
        <f>4954727-G199</f>
        <v>4078121.4984962307</v>
      </c>
      <c r="G199" s="19">
        <v>876605.50150376942</v>
      </c>
      <c r="H199" s="26">
        <f t="shared" si="5"/>
        <v>-457508.50150376931</v>
      </c>
      <c r="I199" s="111">
        <f t="shared" si="6"/>
        <v>0.89913010948781769</v>
      </c>
      <c r="J199" s="69"/>
      <c r="K199" s="69"/>
      <c r="L199" s="69"/>
      <c r="M199" s="69"/>
      <c r="N199" s="69"/>
      <c r="O199" s="69"/>
      <c r="P199" s="69"/>
      <c r="Q199" s="9"/>
    </row>
    <row r="200" spans="1:17" ht="12" hidden="1" customHeight="1">
      <c r="A200" s="1"/>
      <c r="B200" s="1"/>
      <c r="C200" s="48">
        <v>2120</v>
      </c>
      <c r="D200" s="62" t="s">
        <v>16</v>
      </c>
      <c r="E200" s="50">
        <f>952210+46200</f>
        <v>998410</v>
      </c>
      <c r="F200" s="51">
        <f>1090664-G200</f>
        <v>897700.35465053841</v>
      </c>
      <c r="G200" s="19">
        <v>192963.64534946153</v>
      </c>
      <c r="H200" s="26">
        <f t="shared" si="5"/>
        <v>-100709.64534946159</v>
      </c>
      <c r="I200" s="111">
        <f t="shared" si="6"/>
        <v>0.89912997130491323</v>
      </c>
      <c r="J200" s="69"/>
      <c r="K200" s="69"/>
      <c r="L200" s="69"/>
      <c r="M200" s="69"/>
      <c r="N200" s="69"/>
      <c r="O200" s="69"/>
      <c r="P200" s="69"/>
      <c r="Q200" s="9"/>
    </row>
    <row r="201" spans="1:17" ht="12" hidden="1" customHeight="1">
      <c r="A201" s="1"/>
      <c r="B201" s="1"/>
      <c r="C201" s="48" t="s">
        <v>17</v>
      </c>
      <c r="D201" s="62" t="s">
        <v>18</v>
      </c>
      <c r="E201" s="50">
        <v>102000</v>
      </c>
      <c r="F201" s="51">
        <v>100000</v>
      </c>
      <c r="G201" s="19"/>
      <c r="H201" s="26">
        <f t="shared" si="5"/>
        <v>-2000</v>
      </c>
      <c r="I201" s="111">
        <f t="shared" si="6"/>
        <v>0.98039215686274506</v>
      </c>
      <c r="J201" s="69"/>
      <c r="K201" s="69"/>
      <c r="L201" s="69"/>
      <c r="M201" s="69"/>
      <c r="N201" s="69"/>
      <c r="O201" s="69"/>
      <c r="P201" s="69"/>
      <c r="Q201" s="9"/>
    </row>
    <row r="202" spans="1:17" ht="12" hidden="1" customHeight="1">
      <c r="A202" s="1"/>
      <c r="B202" s="1"/>
      <c r="C202" s="48" t="s">
        <v>106</v>
      </c>
      <c r="D202" s="62" t="s">
        <v>107</v>
      </c>
      <c r="E202" s="50">
        <v>3300</v>
      </c>
      <c r="F202" s="51">
        <v>5000</v>
      </c>
      <c r="G202" s="19"/>
      <c r="H202" s="26">
        <f t="shared" ref="H202:H265" si="7">F202-E202</f>
        <v>1700</v>
      </c>
      <c r="I202" s="111">
        <f t="shared" ref="I202:I265" si="8">F202/E202</f>
        <v>1.5151515151515151</v>
      </c>
      <c r="J202" s="69"/>
      <c r="K202" s="69"/>
      <c r="L202" s="69"/>
      <c r="M202" s="69"/>
      <c r="N202" s="69"/>
      <c r="O202" s="69"/>
      <c r="P202" s="69"/>
      <c r="Q202" s="9"/>
    </row>
    <row r="203" spans="1:17" ht="12" hidden="1" customHeight="1">
      <c r="A203" s="1"/>
      <c r="B203" s="1"/>
      <c r="C203" s="48" t="s">
        <v>108</v>
      </c>
      <c r="D203" s="62" t="s">
        <v>109</v>
      </c>
      <c r="E203" s="50">
        <v>495000</v>
      </c>
      <c r="F203" s="51">
        <v>950000</v>
      </c>
      <c r="G203" s="19"/>
      <c r="H203" s="26">
        <f t="shared" si="7"/>
        <v>455000</v>
      </c>
      <c r="I203" s="111">
        <f t="shared" si="8"/>
        <v>1.9191919191919191</v>
      </c>
      <c r="J203" s="69"/>
      <c r="K203" s="69"/>
      <c r="L203" s="69"/>
      <c r="M203" s="69"/>
      <c r="N203" s="69"/>
      <c r="O203" s="69"/>
      <c r="P203" s="69"/>
      <c r="Q203" s="9"/>
    </row>
    <row r="204" spans="1:17" ht="12" hidden="1" customHeight="1">
      <c r="A204" s="1"/>
      <c r="B204" s="1"/>
      <c r="C204" s="48" t="s">
        <v>19</v>
      </c>
      <c r="D204" s="62" t="s">
        <v>20</v>
      </c>
      <c r="E204" s="50">
        <v>250000</v>
      </c>
      <c r="F204" s="51">
        <v>250000</v>
      </c>
      <c r="G204" s="19"/>
      <c r="H204" s="26">
        <f t="shared" si="7"/>
        <v>0</v>
      </c>
      <c r="I204" s="111">
        <f t="shared" si="8"/>
        <v>1</v>
      </c>
      <c r="J204" s="69"/>
      <c r="K204" s="69"/>
      <c r="L204" s="69"/>
      <c r="M204" s="69"/>
      <c r="N204" s="69"/>
      <c r="O204" s="69"/>
      <c r="P204" s="69"/>
      <c r="Q204" s="9"/>
    </row>
    <row r="205" spans="1:17" ht="12" hidden="1" customHeight="1">
      <c r="A205" s="1"/>
      <c r="B205" s="1"/>
      <c r="C205" s="48" t="s">
        <v>21</v>
      </c>
      <c r="D205" s="62" t="s">
        <v>22</v>
      </c>
      <c r="E205" s="50">
        <v>3300</v>
      </c>
      <c r="F205" s="51">
        <v>6000</v>
      </c>
      <c r="G205" s="19"/>
      <c r="H205" s="26">
        <f t="shared" si="7"/>
        <v>2700</v>
      </c>
      <c r="I205" s="111">
        <f t="shared" si="8"/>
        <v>1.8181818181818181</v>
      </c>
      <c r="J205" s="69"/>
      <c r="K205" s="69"/>
      <c r="L205" s="69"/>
      <c r="M205" s="69"/>
      <c r="N205" s="69"/>
      <c r="O205" s="69"/>
      <c r="P205" s="69"/>
      <c r="Q205" s="9"/>
    </row>
    <row r="206" spans="1:17" ht="12" hidden="1" customHeight="1">
      <c r="A206" s="1"/>
      <c r="B206" s="1"/>
      <c r="C206" s="48" t="s">
        <v>23</v>
      </c>
      <c r="D206" s="62" t="s">
        <v>24</v>
      </c>
      <c r="E206" s="50"/>
      <c r="F206" s="51">
        <v>0</v>
      </c>
      <c r="G206" s="19"/>
      <c r="H206" s="26">
        <f t="shared" si="7"/>
        <v>0</v>
      </c>
      <c r="I206" s="111" t="e">
        <f t="shared" si="8"/>
        <v>#DIV/0!</v>
      </c>
      <c r="J206" s="69"/>
      <c r="K206" s="69"/>
      <c r="L206" s="69"/>
      <c r="M206" s="69"/>
      <c r="N206" s="69"/>
      <c r="O206" s="69"/>
      <c r="P206" s="69"/>
      <c r="Q206" s="9"/>
    </row>
    <row r="207" spans="1:17" ht="12" hidden="1" customHeight="1">
      <c r="A207" s="1"/>
      <c r="B207" s="1"/>
      <c r="C207" s="48" t="s">
        <v>25</v>
      </c>
      <c r="D207" s="62" t="s">
        <v>26</v>
      </c>
      <c r="E207" s="50">
        <v>38500</v>
      </c>
      <c r="F207" s="51">
        <v>45000</v>
      </c>
      <c r="G207" s="19"/>
      <c r="H207" s="26">
        <f t="shared" si="7"/>
        <v>6500</v>
      </c>
      <c r="I207" s="111">
        <f t="shared" si="8"/>
        <v>1.1688311688311688</v>
      </c>
      <c r="J207" s="69"/>
      <c r="K207" s="69"/>
      <c r="L207" s="69"/>
      <c r="M207" s="69"/>
      <c r="N207" s="69"/>
      <c r="O207" s="69"/>
      <c r="P207" s="69"/>
      <c r="Q207" s="9"/>
    </row>
    <row r="208" spans="1:17" ht="12" hidden="1" customHeight="1">
      <c r="A208" s="1"/>
      <c r="B208" s="1"/>
      <c r="C208" s="48" t="s">
        <v>27</v>
      </c>
      <c r="D208" s="62" t="s">
        <v>28</v>
      </c>
      <c r="E208" s="50">
        <v>87500</v>
      </c>
      <c r="F208" s="51">
        <v>150000</v>
      </c>
      <c r="G208" s="19"/>
      <c r="H208" s="26">
        <f t="shared" si="7"/>
        <v>62500</v>
      </c>
      <c r="I208" s="111">
        <f t="shared" si="8"/>
        <v>1.7142857142857142</v>
      </c>
      <c r="J208" s="69"/>
      <c r="K208" s="69"/>
      <c r="L208" s="69"/>
      <c r="M208" s="69"/>
      <c r="N208" s="69"/>
      <c r="O208" s="69"/>
      <c r="P208" s="69"/>
      <c r="Q208" s="9"/>
    </row>
    <row r="209" spans="1:17" ht="12" hidden="1" customHeight="1">
      <c r="A209" s="1"/>
      <c r="B209" s="1"/>
      <c r="C209" s="48" t="s">
        <v>29</v>
      </c>
      <c r="D209" s="62" t="s">
        <v>30</v>
      </c>
      <c r="E209" s="50">
        <v>483000</v>
      </c>
      <c r="F209" s="51">
        <v>981200</v>
      </c>
      <c r="G209" s="19"/>
      <c r="H209" s="26">
        <f t="shared" si="7"/>
        <v>498200</v>
      </c>
      <c r="I209" s="111">
        <f t="shared" si="8"/>
        <v>2.0314699792960664</v>
      </c>
      <c r="J209" s="69"/>
      <c r="K209" s="69"/>
      <c r="L209" s="69"/>
      <c r="M209" s="69"/>
      <c r="N209" s="69"/>
      <c r="O209" s="69"/>
      <c r="P209" s="69"/>
      <c r="Q209" s="9"/>
    </row>
    <row r="210" spans="1:17" ht="19.5" hidden="1" customHeight="1">
      <c r="A210" s="1"/>
      <c r="B210" s="1"/>
      <c r="C210" s="48" t="s">
        <v>31</v>
      </c>
      <c r="D210" s="62" t="s">
        <v>32</v>
      </c>
      <c r="E210" s="50">
        <v>66000</v>
      </c>
      <c r="F210" s="51">
        <v>73100</v>
      </c>
      <c r="G210" s="19"/>
      <c r="H210" s="26">
        <f t="shared" si="7"/>
        <v>7100</v>
      </c>
      <c r="I210" s="111">
        <f t="shared" si="8"/>
        <v>1.1075757575757577</v>
      </c>
      <c r="J210" s="69"/>
      <c r="K210" s="69"/>
      <c r="L210" s="69"/>
      <c r="M210" s="69"/>
      <c r="N210" s="69"/>
      <c r="O210" s="69"/>
      <c r="P210" s="69"/>
      <c r="Q210" s="9"/>
    </row>
    <row r="211" spans="1:17" ht="31.5" hidden="1" customHeight="1">
      <c r="A211" s="1"/>
      <c r="B211" s="1"/>
      <c r="C211" s="48" t="s">
        <v>33</v>
      </c>
      <c r="D211" s="62" t="s">
        <v>34</v>
      </c>
      <c r="E211" s="50">
        <v>5500</v>
      </c>
      <c r="F211" s="51">
        <v>6000</v>
      </c>
      <c r="G211" s="19"/>
      <c r="H211" s="26">
        <f t="shared" si="7"/>
        <v>500</v>
      </c>
      <c r="I211" s="111">
        <f t="shared" si="8"/>
        <v>1.0909090909090908</v>
      </c>
      <c r="J211" s="69"/>
      <c r="K211" s="69"/>
      <c r="L211" s="69"/>
      <c r="M211" s="69"/>
      <c r="N211" s="69"/>
      <c r="O211" s="69"/>
      <c r="P211" s="69"/>
      <c r="Q211" s="9"/>
    </row>
    <row r="212" spans="1:17" ht="12" hidden="1" customHeight="1">
      <c r="A212" s="1"/>
      <c r="B212" s="1"/>
      <c r="C212" s="44">
        <v>611010</v>
      </c>
      <c r="D212" s="45" t="s">
        <v>118</v>
      </c>
      <c r="E212" s="46">
        <f>SUM(E213:E225)</f>
        <v>12959850</v>
      </c>
      <c r="F212" s="47">
        <f>F213+F214+F215+F216+F217+F218+F219+F220+F221+F222+F223+F224+F225</f>
        <v>12631040.516520385</v>
      </c>
      <c r="G212" s="19"/>
      <c r="H212" s="26">
        <f t="shared" si="7"/>
        <v>-328809.4834796153</v>
      </c>
      <c r="I212" s="111">
        <f t="shared" si="8"/>
        <v>0.97462860422924535</v>
      </c>
      <c r="J212" s="69"/>
      <c r="K212" s="69"/>
      <c r="L212" s="69"/>
      <c r="M212" s="69"/>
      <c r="N212" s="69"/>
      <c r="O212" s="69"/>
      <c r="P212" s="69"/>
      <c r="Q212" s="9"/>
    </row>
    <row r="213" spans="1:17" ht="12" hidden="1" customHeight="1">
      <c r="A213" s="1"/>
      <c r="B213" s="1"/>
      <c r="C213" s="48">
        <v>2111</v>
      </c>
      <c r="D213" s="62" t="s">
        <v>14</v>
      </c>
      <c r="E213" s="50">
        <v>8257540</v>
      </c>
      <c r="F213" s="51">
        <f>9020545-G213</f>
        <v>7424602.4312967695</v>
      </c>
      <c r="G213" s="19">
        <v>1595942.5687032307</v>
      </c>
      <c r="H213" s="26">
        <f t="shared" si="7"/>
        <v>-832937.56870323047</v>
      </c>
      <c r="I213" s="111">
        <f t="shared" si="8"/>
        <v>0.89913005947252689</v>
      </c>
      <c r="J213" s="69"/>
      <c r="K213" s="69"/>
      <c r="L213" s="69"/>
      <c r="M213" s="69"/>
      <c r="N213" s="69"/>
      <c r="O213" s="69"/>
      <c r="P213" s="69"/>
      <c r="Q213" s="9"/>
    </row>
    <row r="214" spans="1:17" ht="12" hidden="1" customHeight="1">
      <c r="A214" s="1"/>
      <c r="B214" s="1"/>
      <c r="C214" s="48">
        <v>2120</v>
      </c>
      <c r="D214" s="62" t="s">
        <v>16</v>
      </c>
      <c r="E214" s="50">
        <v>1816910</v>
      </c>
      <c r="F214" s="51">
        <f>1984794-G214</f>
        <v>1633638.0852236154</v>
      </c>
      <c r="G214" s="19">
        <v>351155.9147763846</v>
      </c>
      <c r="H214" s="26">
        <f t="shared" si="7"/>
        <v>-183271.9147763846</v>
      </c>
      <c r="I214" s="111">
        <f t="shared" si="8"/>
        <v>0.89912988822980522</v>
      </c>
      <c r="J214" s="69"/>
      <c r="K214" s="69"/>
      <c r="L214" s="69"/>
      <c r="M214" s="69"/>
      <c r="N214" s="69"/>
      <c r="O214" s="69"/>
      <c r="P214" s="69"/>
      <c r="Q214" s="9"/>
    </row>
    <row r="215" spans="1:17" ht="12" hidden="1" customHeight="1">
      <c r="A215" s="1"/>
      <c r="B215" s="1"/>
      <c r="C215" s="48" t="s">
        <v>17</v>
      </c>
      <c r="D215" s="62" t="s">
        <v>18</v>
      </c>
      <c r="E215" s="50">
        <v>135600</v>
      </c>
      <c r="F215" s="51">
        <v>130000</v>
      </c>
      <c r="G215" s="19"/>
      <c r="H215" s="26">
        <f t="shared" si="7"/>
        <v>-5600</v>
      </c>
      <c r="I215" s="111">
        <f t="shared" si="8"/>
        <v>0.95870206489675514</v>
      </c>
      <c r="J215" s="69"/>
      <c r="K215" s="69"/>
      <c r="L215" s="69"/>
      <c r="M215" s="69"/>
      <c r="N215" s="69"/>
      <c r="O215" s="69"/>
      <c r="P215" s="69"/>
      <c r="Q215" s="9"/>
    </row>
    <row r="216" spans="1:17" ht="12" hidden="1" customHeight="1">
      <c r="A216" s="1"/>
      <c r="B216" s="1"/>
      <c r="C216" s="48" t="s">
        <v>106</v>
      </c>
      <c r="D216" s="62" t="s">
        <v>107</v>
      </c>
      <c r="E216" s="50">
        <v>50000</v>
      </c>
      <c r="F216" s="51">
        <v>40000</v>
      </c>
      <c r="G216" s="19"/>
      <c r="H216" s="26">
        <f t="shared" si="7"/>
        <v>-10000</v>
      </c>
      <c r="I216" s="111">
        <f t="shared" si="8"/>
        <v>0.8</v>
      </c>
      <c r="J216" s="69"/>
      <c r="K216" s="69"/>
      <c r="L216" s="69"/>
      <c r="M216" s="69"/>
      <c r="N216" s="69"/>
      <c r="O216" s="69"/>
      <c r="P216" s="69"/>
      <c r="Q216" s="9"/>
    </row>
    <row r="217" spans="1:17" ht="12" hidden="1" customHeight="1">
      <c r="A217" s="1"/>
      <c r="B217" s="1"/>
      <c r="C217" s="48" t="s">
        <v>108</v>
      </c>
      <c r="D217" s="62" t="s">
        <v>109</v>
      </c>
      <c r="E217" s="50">
        <v>1300000</v>
      </c>
      <c r="F217" s="51">
        <v>1800000</v>
      </c>
      <c r="G217" s="19"/>
      <c r="H217" s="26">
        <f t="shared" si="7"/>
        <v>500000</v>
      </c>
      <c r="I217" s="111">
        <f t="shared" si="8"/>
        <v>1.3846153846153846</v>
      </c>
      <c r="J217" s="69"/>
      <c r="K217" s="69"/>
      <c r="L217" s="69"/>
      <c r="M217" s="69"/>
      <c r="N217" s="69"/>
      <c r="O217" s="69"/>
      <c r="P217" s="69"/>
      <c r="Q217" s="9"/>
    </row>
    <row r="218" spans="1:17" ht="12" hidden="1" customHeight="1">
      <c r="A218" s="1"/>
      <c r="B218" s="1"/>
      <c r="C218" s="48" t="s">
        <v>19</v>
      </c>
      <c r="D218" s="62" t="s">
        <v>20</v>
      </c>
      <c r="E218" s="50">
        <v>300000</v>
      </c>
      <c r="F218" s="51">
        <v>200000</v>
      </c>
      <c r="G218" s="19"/>
      <c r="H218" s="26">
        <f t="shared" si="7"/>
        <v>-100000</v>
      </c>
      <c r="I218" s="111">
        <f t="shared" si="8"/>
        <v>0.66666666666666663</v>
      </c>
      <c r="J218" s="69"/>
      <c r="K218" s="69"/>
      <c r="L218" s="69"/>
      <c r="M218" s="69"/>
      <c r="N218" s="69"/>
      <c r="O218" s="69"/>
      <c r="P218" s="69"/>
      <c r="Q218" s="9"/>
    </row>
    <row r="219" spans="1:17" ht="12" hidden="1" customHeight="1">
      <c r="A219" s="1"/>
      <c r="B219" s="1"/>
      <c r="C219" s="48" t="s">
        <v>21</v>
      </c>
      <c r="D219" s="62" t="s">
        <v>22</v>
      </c>
      <c r="E219" s="50">
        <v>5000</v>
      </c>
      <c r="F219" s="51">
        <v>6000</v>
      </c>
      <c r="G219" s="19"/>
      <c r="H219" s="26">
        <f t="shared" si="7"/>
        <v>1000</v>
      </c>
      <c r="I219" s="111">
        <f t="shared" si="8"/>
        <v>1.2</v>
      </c>
      <c r="J219" s="69"/>
      <c r="K219" s="69"/>
      <c r="L219" s="69"/>
      <c r="M219" s="69"/>
      <c r="N219" s="69"/>
      <c r="O219" s="69"/>
      <c r="P219" s="69"/>
      <c r="Q219" s="9"/>
    </row>
    <row r="220" spans="1:17" ht="12" hidden="1" customHeight="1">
      <c r="A220" s="1"/>
      <c r="B220" s="1"/>
      <c r="C220" s="48" t="s">
        <v>23</v>
      </c>
      <c r="D220" s="62" t="s">
        <v>24</v>
      </c>
      <c r="E220" s="50">
        <v>800000</v>
      </c>
      <c r="F220" s="51">
        <v>1100000</v>
      </c>
      <c r="G220" s="19"/>
      <c r="H220" s="26">
        <f t="shared" si="7"/>
        <v>300000</v>
      </c>
      <c r="I220" s="111">
        <f t="shared" si="8"/>
        <v>1.375</v>
      </c>
      <c r="J220" s="69"/>
      <c r="K220" s="69"/>
      <c r="L220" s="69"/>
      <c r="M220" s="69"/>
      <c r="N220" s="69"/>
      <c r="O220" s="69"/>
      <c r="P220" s="69"/>
      <c r="Q220" s="9"/>
    </row>
    <row r="221" spans="1:17" ht="12" hidden="1" customHeight="1">
      <c r="A221" s="1"/>
      <c r="B221" s="1"/>
      <c r="C221" s="48" t="s">
        <v>25</v>
      </c>
      <c r="D221" s="62" t="s">
        <v>26</v>
      </c>
      <c r="E221" s="50">
        <v>73000</v>
      </c>
      <c r="F221" s="51">
        <v>74000</v>
      </c>
      <c r="G221" s="19"/>
      <c r="H221" s="26">
        <f t="shared" si="7"/>
        <v>1000</v>
      </c>
      <c r="I221" s="111">
        <f t="shared" si="8"/>
        <v>1.0136986301369864</v>
      </c>
      <c r="J221" s="69"/>
      <c r="K221" s="69"/>
      <c r="L221" s="69"/>
      <c r="M221" s="69"/>
      <c r="N221" s="69"/>
      <c r="O221" s="69"/>
      <c r="P221" s="69"/>
      <c r="Q221" s="9"/>
    </row>
    <row r="222" spans="1:17" ht="12" hidden="1" customHeight="1">
      <c r="A222" s="1"/>
      <c r="B222" s="1"/>
      <c r="C222" s="48" t="s">
        <v>27</v>
      </c>
      <c r="D222" s="62" t="s">
        <v>28</v>
      </c>
      <c r="E222" s="50">
        <v>199800</v>
      </c>
      <c r="F222" s="51">
        <v>199800</v>
      </c>
      <c r="G222" s="19"/>
      <c r="H222" s="26">
        <f t="shared" si="7"/>
        <v>0</v>
      </c>
      <c r="I222" s="111">
        <f t="shared" si="8"/>
        <v>1</v>
      </c>
      <c r="J222" s="69"/>
      <c r="K222" s="69"/>
      <c r="L222" s="69"/>
      <c r="M222" s="69"/>
      <c r="N222" s="69"/>
      <c r="O222" s="69"/>
      <c r="P222" s="69"/>
      <c r="Q222" s="9"/>
    </row>
    <row r="223" spans="1:17" ht="12" hidden="1" customHeight="1">
      <c r="A223" s="1"/>
      <c r="B223" s="1"/>
      <c r="C223" s="48" t="s">
        <v>29</v>
      </c>
      <c r="D223" s="62" t="s">
        <v>30</v>
      </c>
      <c r="E223" s="70"/>
      <c r="F223" s="51">
        <v>0</v>
      </c>
      <c r="G223" s="19"/>
      <c r="H223" s="26">
        <f t="shared" si="7"/>
        <v>0</v>
      </c>
      <c r="I223" s="111" t="e">
        <f t="shared" si="8"/>
        <v>#DIV/0!</v>
      </c>
      <c r="J223" s="69"/>
      <c r="K223" s="69"/>
      <c r="L223" s="69"/>
      <c r="M223" s="69"/>
      <c r="N223" s="69"/>
      <c r="O223" s="69"/>
      <c r="P223" s="69"/>
      <c r="Q223" s="9"/>
    </row>
    <row r="224" spans="1:17" ht="18.75" hidden="1" customHeight="1">
      <c r="A224" s="1"/>
      <c r="B224" s="1"/>
      <c r="C224" s="48" t="s">
        <v>31</v>
      </c>
      <c r="D224" s="62" t="s">
        <v>32</v>
      </c>
      <c r="E224" s="50">
        <v>17000</v>
      </c>
      <c r="F224" s="51">
        <v>18000</v>
      </c>
      <c r="G224" s="19"/>
      <c r="H224" s="26">
        <f t="shared" si="7"/>
        <v>1000</v>
      </c>
      <c r="I224" s="111">
        <f t="shared" si="8"/>
        <v>1.0588235294117647</v>
      </c>
      <c r="J224" s="69"/>
      <c r="K224" s="69"/>
      <c r="L224" s="69"/>
      <c r="M224" s="69"/>
      <c r="N224" s="69"/>
      <c r="O224" s="69"/>
      <c r="P224" s="69"/>
      <c r="Q224" s="9"/>
    </row>
    <row r="225" spans="1:17" ht="28.5" hidden="1" customHeight="1">
      <c r="A225" s="1"/>
      <c r="B225" s="1"/>
      <c r="C225" s="48" t="s">
        <v>33</v>
      </c>
      <c r="D225" s="62" t="s">
        <v>34</v>
      </c>
      <c r="E225" s="50">
        <v>5000</v>
      </c>
      <c r="F225" s="51">
        <v>5000</v>
      </c>
      <c r="G225" s="19"/>
      <c r="H225" s="26">
        <f t="shared" si="7"/>
        <v>0</v>
      </c>
      <c r="I225" s="111">
        <f t="shared" si="8"/>
        <v>1</v>
      </c>
      <c r="J225" s="69"/>
      <c r="K225" s="69"/>
      <c r="L225" s="69"/>
      <c r="M225" s="69"/>
      <c r="N225" s="69"/>
      <c r="O225" s="69"/>
      <c r="P225" s="69"/>
      <c r="Q225" s="9"/>
    </row>
    <row r="226" spans="1:17" ht="24" hidden="1" customHeight="1">
      <c r="A226" s="1"/>
      <c r="B226" s="1"/>
      <c r="C226" s="44">
        <v>611010</v>
      </c>
      <c r="D226" s="45" t="s">
        <v>119</v>
      </c>
      <c r="E226" s="46">
        <f>SUM(E227:E240)</f>
        <v>8055190</v>
      </c>
      <c r="F226" s="47">
        <f>F227+F228+F229+F230+F231+F232+F233+F234+F235+F236+F237+F238+F239+F240+F241</f>
        <v>8106863.5174639225</v>
      </c>
      <c r="G226" s="19"/>
      <c r="H226" s="26">
        <f t="shared" si="7"/>
        <v>51673.517463922501</v>
      </c>
      <c r="I226" s="111">
        <f t="shared" si="8"/>
        <v>1.0064149346525559</v>
      </c>
      <c r="J226" s="69"/>
      <c r="K226" s="69"/>
      <c r="L226" s="69"/>
      <c r="M226" s="69"/>
      <c r="N226" s="69"/>
      <c r="O226" s="69"/>
      <c r="P226" s="69"/>
      <c r="Q226" s="9"/>
    </row>
    <row r="227" spans="1:17" ht="12" hidden="1" customHeight="1">
      <c r="A227" s="1"/>
      <c r="B227" s="1"/>
      <c r="C227" s="48">
        <v>2111</v>
      </c>
      <c r="D227" s="62" t="s">
        <v>14</v>
      </c>
      <c r="E227" s="50">
        <v>5107110</v>
      </c>
      <c r="F227" s="51">
        <f>5579012-G227</f>
        <v>4591956.0181882307</v>
      </c>
      <c r="G227" s="19">
        <v>987055.98181176931</v>
      </c>
      <c r="H227" s="26">
        <f t="shared" si="7"/>
        <v>-515153.98181176931</v>
      </c>
      <c r="I227" s="111">
        <f t="shared" si="8"/>
        <v>0.8991300399224279</v>
      </c>
      <c r="J227" s="69"/>
      <c r="K227" s="69"/>
      <c r="L227" s="69"/>
      <c r="M227" s="69"/>
      <c r="N227" s="69"/>
      <c r="O227" s="69"/>
      <c r="P227" s="69"/>
      <c r="Q227" s="9"/>
    </row>
    <row r="228" spans="1:17" ht="12" hidden="1" customHeight="1">
      <c r="A228" s="1"/>
      <c r="B228" s="1"/>
      <c r="C228" s="48">
        <v>2120</v>
      </c>
      <c r="D228" s="62" t="s">
        <v>16</v>
      </c>
      <c r="E228" s="50">
        <v>1143920</v>
      </c>
      <c r="F228" s="51">
        <f>1249619-G228</f>
        <v>1028532.4992756923</v>
      </c>
      <c r="G228" s="19">
        <v>221086.50072430767</v>
      </c>
      <c r="H228" s="26">
        <f t="shared" si="7"/>
        <v>-115387.50072430773</v>
      </c>
      <c r="I228" s="111">
        <f t="shared" si="8"/>
        <v>0.8991297462022626</v>
      </c>
      <c r="J228" s="69"/>
      <c r="K228" s="69"/>
      <c r="L228" s="69"/>
      <c r="M228" s="69"/>
      <c r="N228" s="69"/>
      <c r="O228" s="69"/>
      <c r="P228" s="69"/>
      <c r="Q228" s="9"/>
    </row>
    <row r="229" spans="1:17" ht="12" hidden="1" customHeight="1">
      <c r="A229" s="1"/>
      <c r="B229" s="1"/>
      <c r="C229" s="48" t="s">
        <v>17</v>
      </c>
      <c r="D229" s="62" t="s">
        <v>18</v>
      </c>
      <c r="E229" s="50">
        <v>103000</v>
      </c>
      <c r="F229" s="51">
        <v>100000</v>
      </c>
      <c r="G229" s="19"/>
      <c r="H229" s="26">
        <f t="shared" si="7"/>
        <v>-3000</v>
      </c>
      <c r="I229" s="111">
        <f t="shared" si="8"/>
        <v>0.970873786407767</v>
      </c>
      <c r="J229" s="69"/>
      <c r="K229" s="69"/>
      <c r="L229" s="69"/>
      <c r="M229" s="69"/>
      <c r="N229" s="69"/>
      <c r="O229" s="69"/>
      <c r="P229" s="69"/>
      <c r="Q229" s="9"/>
    </row>
    <row r="230" spans="1:17" ht="12" hidden="1" customHeight="1">
      <c r="A230" s="1"/>
      <c r="B230" s="1"/>
      <c r="C230" s="48" t="s">
        <v>106</v>
      </c>
      <c r="D230" s="62" t="s">
        <v>107</v>
      </c>
      <c r="E230" s="50">
        <v>2200</v>
      </c>
      <c r="F230" s="51">
        <v>10000</v>
      </c>
      <c r="G230" s="19"/>
      <c r="H230" s="26">
        <f t="shared" si="7"/>
        <v>7800</v>
      </c>
      <c r="I230" s="111">
        <f t="shared" si="8"/>
        <v>4.5454545454545459</v>
      </c>
      <c r="J230" s="69"/>
      <c r="K230" s="69"/>
      <c r="L230" s="69"/>
      <c r="M230" s="69"/>
      <c r="N230" s="69"/>
      <c r="O230" s="69"/>
      <c r="P230" s="69"/>
      <c r="Q230" s="9"/>
    </row>
    <row r="231" spans="1:17" ht="12" hidden="1" customHeight="1">
      <c r="A231" s="1"/>
      <c r="B231" s="1"/>
      <c r="C231" s="48" t="s">
        <v>108</v>
      </c>
      <c r="D231" s="62" t="s">
        <v>109</v>
      </c>
      <c r="E231" s="50">
        <v>605000</v>
      </c>
      <c r="F231" s="51">
        <v>653400</v>
      </c>
      <c r="G231" s="19"/>
      <c r="H231" s="26">
        <f t="shared" si="7"/>
        <v>48400</v>
      </c>
      <c r="I231" s="111">
        <f t="shared" si="8"/>
        <v>1.08</v>
      </c>
      <c r="J231" s="69"/>
      <c r="K231" s="69"/>
      <c r="L231" s="69"/>
      <c r="M231" s="69"/>
      <c r="N231" s="69"/>
      <c r="O231" s="69"/>
      <c r="P231" s="69"/>
      <c r="Q231" s="9"/>
    </row>
    <row r="232" spans="1:17" ht="12" hidden="1" customHeight="1">
      <c r="A232" s="1"/>
      <c r="B232" s="1"/>
      <c r="C232" s="48" t="s">
        <v>19</v>
      </c>
      <c r="D232" s="62" t="s">
        <v>20</v>
      </c>
      <c r="E232" s="50">
        <v>302000</v>
      </c>
      <c r="F232" s="51">
        <v>300000</v>
      </c>
      <c r="G232" s="19"/>
      <c r="H232" s="26">
        <f t="shared" si="7"/>
        <v>-2000</v>
      </c>
      <c r="I232" s="111">
        <f t="shared" si="8"/>
        <v>0.99337748344370858</v>
      </c>
      <c r="J232" s="69"/>
      <c r="K232" s="69"/>
      <c r="L232" s="69"/>
      <c r="M232" s="69"/>
      <c r="N232" s="69"/>
      <c r="O232" s="69"/>
      <c r="P232" s="69"/>
      <c r="Q232" s="9"/>
    </row>
    <row r="233" spans="1:17" ht="12" hidden="1" customHeight="1">
      <c r="A233" s="1"/>
      <c r="B233" s="1"/>
      <c r="C233" s="48" t="s">
        <v>21</v>
      </c>
      <c r="D233" s="62" t="s">
        <v>22</v>
      </c>
      <c r="E233" s="50">
        <v>1100</v>
      </c>
      <c r="F233" s="51">
        <v>1100</v>
      </c>
      <c r="G233" s="19"/>
      <c r="H233" s="26">
        <f t="shared" si="7"/>
        <v>0</v>
      </c>
      <c r="I233" s="111">
        <f t="shared" si="8"/>
        <v>1</v>
      </c>
      <c r="J233" s="69"/>
      <c r="K233" s="69"/>
      <c r="L233" s="69"/>
      <c r="M233" s="69"/>
      <c r="N233" s="69"/>
      <c r="O233" s="69"/>
      <c r="P233" s="69"/>
      <c r="Q233" s="9"/>
    </row>
    <row r="234" spans="1:17" ht="12" hidden="1" customHeight="1">
      <c r="A234" s="1"/>
      <c r="B234" s="1"/>
      <c r="C234" s="48" t="s">
        <v>23</v>
      </c>
      <c r="D234" s="62" t="s">
        <v>24</v>
      </c>
      <c r="E234" s="50"/>
      <c r="F234" s="51">
        <v>0</v>
      </c>
      <c r="G234" s="19"/>
      <c r="H234" s="26">
        <f t="shared" si="7"/>
        <v>0</v>
      </c>
      <c r="I234" s="111" t="e">
        <f t="shared" si="8"/>
        <v>#DIV/0!</v>
      </c>
      <c r="J234" s="69"/>
      <c r="K234" s="69"/>
      <c r="L234" s="69"/>
      <c r="M234" s="69"/>
      <c r="N234" s="69"/>
      <c r="O234" s="69"/>
      <c r="P234" s="69"/>
      <c r="Q234" s="9"/>
    </row>
    <row r="235" spans="1:17" ht="12" hidden="1" customHeight="1">
      <c r="A235" s="1"/>
      <c r="B235" s="1"/>
      <c r="C235" s="48" t="s">
        <v>25</v>
      </c>
      <c r="D235" s="62" t="s">
        <v>26</v>
      </c>
      <c r="E235" s="50">
        <v>49100</v>
      </c>
      <c r="F235" s="51">
        <v>85365</v>
      </c>
      <c r="G235" s="19"/>
      <c r="H235" s="26">
        <f t="shared" si="7"/>
        <v>36265</v>
      </c>
      <c r="I235" s="111">
        <f t="shared" si="8"/>
        <v>1.7385947046843178</v>
      </c>
      <c r="J235" s="69"/>
      <c r="K235" s="69"/>
      <c r="L235" s="69"/>
      <c r="M235" s="69"/>
      <c r="N235" s="69"/>
      <c r="O235" s="69"/>
      <c r="P235" s="69"/>
      <c r="Q235" s="9"/>
    </row>
    <row r="236" spans="1:17" ht="12" hidden="1" customHeight="1">
      <c r="A236" s="1"/>
      <c r="B236" s="1"/>
      <c r="C236" s="48" t="s">
        <v>27</v>
      </c>
      <c r="D236" s="62" t="s">
        <v>28</v>
      </c>
      <c r="E236" s="50">
        <v>237500</v>
      </c>
      <c r="F236" s="51">
        <v>375990</v>
      </c>
      <c r="G236" s="19"/>
      <c r="H236" s="26">
        <f t="shared" si="7"/>
        <v>138490</v>
      </c>
      <c r="I236" s="111">
        <f t="shared" si="8"/>
        <v>1.5831157894736843</v>
      </c>
      <c r="J236" s="69"/>
      <c r="K236" s="69"/>
      <c r="L236" s="69"/>
      <c r="M236" s="69"/>
      <c r="N236" s="69"/>
      <c r="O236" s="69"/>
      <c r="P236" s="69"/>
      <c r="Q236" s="9"/>
    </row>
    <row r="237" spans="1:17" ht="12" hidden="1" customHeight="1">
      <c r="A237" s="1"/>
      <c r="B237" s="1"/>
      <c r="C237" s="48" t="s">
        <v>29</v>
      </c>
      <c r="D237" s="62" t="s">
        <v>30</v>
      </c>
      <c r="E237" s="50">
        <v>491500</v>
      </c>
      <c r="F237" s="51">
        <v>924000</v>
      </c>
      <c r="G237" s="19"/>
      <c r="H237" s="26">
        <f t="shared" si="7"/>
        <v>432500</v>
      </c>
      <c r="I237" s="111">
        <f t="shared" si="8"/>
        <v>1.8799593082400814</v>
      </c>
      <c r="J237" s="69"/>
      <c r="K237" s="69"/>
      <c r="L237" s="69"/>
      <c r="M237" s="69"/>
      <c r="N237" s="69"/>
      <c r="O237" s="69"/>
      <c r="P237" s="69"/>
      <c r="Q237" s="9"/>
    </row>
    <row r="238" spans="1:17" ht="20.25" hidden="1" customHeight="1">
      <c r="A238" s="1"/>
      <c r="B238" s="1"/>
      <c r="C238" s="48" t="s">
        <v>31</v>
      </c>
      <c r="D238" s="62" t="s">
        <v>32</v>
      </c>
      <c r="E238" s="50">
        <v>9240</v>
      </c>
      <c r="F238" s="51">
        <v>10000</v>
      </c>
      <c r="G238" s="19"/>
      <c r="H238" s="26">
        <f t="shared" si="7"/>
        <v>760</v>
      </c>
      <c r="I238" s="111">
        <f t="shared" si="8"/>
        <v>1.0822510822510822</v>
      </c>
      <c r="J238" s="69"/>
      <c r="K238" s="69"/>
      <c r="L238" s="69"/>
      <c r="M238" s="69"/>
      <c r="N238" s="69"/>
      <c r="O238" s="69"/>
      <c r="P238" s="69"/>
      <c r="Q238" s="9"/>
    </row>
    <row r="239" spans="1:17" ht="30.75" hidden="1" customHeight="1">
      <c r="A239" s="1"/>
      <c r="B239" s="1"/>
      <c r="C239" s="48" t="s">
        <v>33</v>
      </c>
      <c r="D239" s="62" t="s">
        <v>34</v>
      </c>
      <c r="E239" s="70"/>
      <c r="F239" s="51">
        <v>0</v>
      </c>
      <c r="G239" s="19"/>
      <c r="H239" s="26">
        <f t="shared" si="7"/>
        <v>0</v>
      </c>
      <c r="I239" s="111" t="e">
        <f t="shared" si="8"/>
        <v>#DIV/0!</v>
      </c>
      <c r="J239" s="69"/>
      <c r="K239" s="69"/>
      <c r="L239" s="69"/>
      <c r="M239" s="69"/>
      <c r="N239" s="69"/>
      <c r="O239" s="69"/>
      <c r="P239" s="69"/>
      <c r="Q239" s="9"/>
    </row>
    <row r="240" spans="1:17" ht="12" hidden="1" customHeight="1">
      <c r="A240" s="1"/>
      <c r="B240" s="1"/>
      <c r="C240" s="48" t="s">
        <v>35</v>
      </c>
      <c r="D240" s="62" t="s">
        <v>36</v>
      </c>
      <c r="E240" s="50">
        <v>3520</v>
      </c>
      <c r="F240" s="51">
        <v>3520</v>
      </c>
      <c r="G240" s="19"/>
      <c r="H240" s="26">
        <f t="shared" si="7"/>
        <v>0</v>
      </c>
      <c r="I240" s="111">
        <f t="shared" si="8"/>
        <v>1</v>
      </c>
      <c r="J240" s="69"/>
      <c r="K240" s="69"/>
      <c r="L240" s="69"/>
      <c r="M240" s="69"/>
      <c r="N240" s="69"/>
      <c r="O240" s="69"/>
      <c r="P240" s="69"/>
      <c r="Q240" s="9"/>
    </row>
    <row r="241" spans="1:17" ht="12" hidden="1" customHeight="1">
      <c r="A241" s="1"/>
      <c r="B241" s="1"/>
      <c r="C241" s="71">
        <v>3110</v>
      </c>
      <c r="D241" s="72"/>
      <c r="E241" s="73"/>
      <c r="F241" s="74">
        <v>23000</v>
      </c>
      <c r="G241" s="19"/>
      <c r="H241" s="26">
        <f t="shared" si="7"/>
        <v>23000</v>
      </c>
      <c r="I241" s="111" t="e">
        <f t="shared" si="8"/>
        <v>#DIV/0!</v>
      </c>
      <c r="J241" s="69"/>
      <c r="K241" s="69"/>
      <c r="L241" s="69"/>
      <c r="M241" s="69"/>
      <c r="N241" s="69"/>
      <c r="O241" s="69"/>
      <c r="P241" s="69"/>
      <c r="Q241" s="9"/>
    </row>
    <row r="242" spans="1:17" ht="12" hidden="1" customHeight="1">
      <c r="A242" s="1"/>
      <c r="B242" s="1"/>
      <c r="C242" s="44">
        <v>611010</v>
      </c>
      <c r="D242" s="45" t="s">
        <v>120</v>
      </c>
      <c r="E242" s="46">
        <f>SUM(E243:E255)</f>
        <v>3274185</v>
      </c>
      <c r="F242" s="47">
        <f>F243+F244+F245+F246+F247+F248+F249+F250+F251+F252+F253+F254+F255</f>
        <v>3731922.26896</v>
      </c>
      <c r="G242" s="19"/>
      <c r="H242" s="26">
        <f t="shared" si="7"/>
        <v>457737.26896000002</v>
      </c>
      <c r="I242" s="111">
        <f t="shared" si="8"/>
        <v>1.1398018954213034</v>
      </c>
      <c r="J242" s="69"/>
      <c r="K242" s="69"/>
      <c r="L242" s="69"/>
      <c r="M242" s="69"/>
      <c r="N242" s="69"/>
      <c r="O242" s="69"/>
      <c r="P242" s="69"/>
      <c r="Q242" s="9"/>
    </row>
    <row r="243" spans="1:17" ht="12" hidden="1" customHeight="1">
      <c r="A243" s="1"/>
      <c r="B243" s="1"/>
      <c r="C243" s="48">
        <v>2111</v>
      </c>
      <c r="D243" s="62" t="s">
        <v>14</v>
      </c>
      <c r="E243" s="50">
        <v>1964960</v>
      </c>
      <c r="F243" s="51">
        <v>2146524.26896</v>
      </c>
      <c r="G243" s="19">
        <v>379769.6783544615</v>
      </c>
      <c r="H243" s="26">
        <f t="shared" si="7"/>
        <v>181564.26896000002</v>
      </c>
      <c r="I243" s="111">
        <f t="shared" si="8"/>
        <v>1.092401</v>
      </c>
      <c r="J243" s="69"/>
      <c r="K243" s="69"/>
      <c r="L243" s="69"/>
      <c r="M243" s="69"/>
      <c r="N243" s="69"/>
      <c r="O243" s="69"/>
      <c r="P243" s="69"/>
      <c r="Q243" s="9"/>
    </row>
    <row r="244" spans="1:17" ht="12" hidden="1" customHeight="1">
      <c r="A244" s="1"/>
      <c r="B244" s="1"/>
      <c r="C244" s="48">
        <v>2120</v>
      </c>
      <c r="D244" s="62" t="s">
        <v>16</v>
      </c>
      <c r="E244" s="50">
        <v>476380</v>
      </c>
      <c r="F244" s="51">
        <v>520398</v>
      </c>
      <c r="G244" s="19">
        <v>92070.413328769238</v>
      </c>
      <c r="H244" s="26">
        <f t="shared" si="7"/>
        <v>44018</v>
      </c>
      <c r="I244" s="111">
        <f t="shared" si="8"/>
        <v>1.0924010243922919</v>
      </c>
      <c r="J244" s="69"/>
      <c r="K244" s="69"/>
      <c r="L244" s="69"/>
      <c r="M244" s="69"/>
      <c r="N244" s="69"/>
      <c r="O244" s="69"/>
      <c r="P244" s="69"/>
      <c r="Q244" s="9"/>
    </row>
    <row r="245" spans="1:17" ht="12" hidden="1" customHeight="1">
      <c r="A245" s="1"/>
      <c r="B245" s="1"/>
      <c r="C245" s="48" t="s">
        <v>17</v>
      </c>
      <c r="D245" s="62" t="s">
        <v>18</v>
      </c>
      <c r="E245" s="50">
        <v>37300</v>
      </c>
      <c r="F245" s="51">
        <v>80000</v>
      </c>
      <c r="G245" s="19"/>
      <c r="H245" s="26">
        <f t="shared" si="7"/>
        <v>42700</v>
      </c>
      <c r="I245" s="111">
        <f t="shared" si="8"/>
        <v>2.1447721179624666</v>
      </c>
      <c r="J245" s="69"/>
      <c r="K245" s="69"/>
      <c r="L245" s="69"/>
      <c r="M245" s="69"/>
      <c r="N245" s="69"/>
      <c r="O245" s="69"/>
      <c r="P245" s="69"/>
      <c r="Q245" s="9"/>
    </row>
    <row r="246" spans="1:17" ht="12" hidden="1" customHeight="1">
      <c r="A246" s="1"/>
      <c r="B246" s="1"/>
      <c r="C246" s="48" t="s">
        <v>106</v>
      </c>
      <c r="D246" s="62" t="s">
        <v>107</v>
      </c>
      <c r="E246" s="50">
        <v>30000</v>
      </c>
      <c r="F246" s="51">
        <v>35000</v>
      </c>
      <c r="G246" s="19"/>
      <c r="H246" s="26">
        <f t="shared" si="7"/>
        <v>5000</v>
      </c>
      <c r="I246" s="111">
        <f t="shared" si="8"/>
        <v>1.1666666666666667</v>
      </c>
      <c r="J246" s="69"/>
      <c r="K246" s="69"/>
      <c r="L246" s="69"/>
      <c r="M246" s="69"/>
      <c r="N246" s="69"/>
      <c r="O246" s="69"/>
      <c r="P246" s="69"/>
      <c r="Q246" s="9"/>
    </row>
    <row r="247" spans="1:17" ht="12" hidden="1" customHeight="1">
      <c r="A247" s="1"/>
      <c r="B247" s="1"/>
      <c r="C247" s="48" t="s">
        <v>108</v>
      </c>
      <c r="D247" s="62" t="s">
        <v>109</v>
      </c>
      <c r="E247" s="50">
        <v>300000</v>
      </c>
      <c r="F247" s="51">
        <v>300000</v>
      </c>
      <c r="G247" s="19"/>
      <c r="H247" s="26">
        <f t="shared" si="7"/>
        <v>0</v>
      </c>
      <c r="I247" s="111">
        <f t="shared" si="8"/>
        <v>1</v>
      </c>
      <c r="J247" s="69"/>
      <c r="K247" s="69"/>
      <c r="L247" s="69"/>
      <c r="M247" s="69"/>
      <c r="N247" s="69"/>
      <c r="O247" s="69"/>
      <c r="P247" s="69"/>
      <c r="Q247" s="9"/>
    </row>
    <row r="248" spans="1:17" ht="12" hidden="1" customHeight="1">
      <c r="A248" s="1"/>
      <c r="B248" s="1"/>
      <c r="C248" s="48" t="s">
        <v>19</v>
      </c>
      <c r="D248" s="62" t="s">
        <v>20</v>
      </c>
      <c r="E248" s="50">
        <v>215545</v>
      </c>
      <c r="F248" s="51">
        <v>250000</v>
      </c>
      <c r="G248" s="19"/>
      <c r="H248" s="26">
        <f t="shared" si="7"/>
        <v>34455</v>
      </c>
      <c r="I248" s="111">
        <f t="shared" si="8"/>
        <v>1.1598506112412721</v>
      </c>
      <c r="J248" s="69"/>
      <c r="K248" s="69"/>
      <c r="L248" s="69"/>
      <c r="M248" s="69"/>
      <c r="N248" s="69"/>
      <c r="O248" s="69"/>
      <c r="P248" s="69"/>
      <c r="Q248" s="9"/>
    </row>
    <row r="249" spans="1:17" ht="12" hidden="1" customHeight="1">
      <c r="A249" s="1"/>
      <c r="B249" s="1"/>
      <c r="C249" s="48" t="s">
        <v>21</v>
      </c>
      <c r="D249" s="62" t="s">
        <v>22</v>
      </c>
      <c r="E249" s="50"/>
      <c r="F249" s="51">
        <v>0</v>
      </c>
      <c r="G249" s="19"/>
      <c r="H249" s="26">
        <f t="shared" si="7"/>
        <v>0</v>
      </c>
      <c r="I249" s="111" t="e">
        <f t="shared" si="8"/>
        <v>#DIV/0!</v>
      </c>
      <c r="J249" s="69"/>
      <c r="K249" s="69"/>
      <c r="L249" s="69"/>
      <c r="M249" s="69"/>
      <c r="N249" s="69"/>
      <c r="O249" s="69"/>
      <c r="P249" s="69"/>
      <c r="Q249" s="9"/>
    </row>
    <row r="250" spans="1:17" ht="12" hidden="1" customHeight="1">
      <c r="A250" s="1"/>
      <c r="B250" s="1"/>
      <c r="C250" s="48" t="s">
        <v>23</v>
      </c>
      <c r="D250" s="62" t="s">
        <v>24</v>
      </c>
      <c r="E250" s="50"/>
      <c r="F250" s="51">
        <v>0</v>
      </c>
      <c r="G250" s="19"/>
      <c r="H250" s="26">
        <f t="shared" si="7"/>
        <v>0</v>
      </c>
      <c r="I250" s="111" t="e">
        <f t="shared" si="8"/>
        <v>#DIV/0!</v>
      </c>
      <c r="J250" s="69"/>
      <c r="K250" s="69"/>
      <c r="L250" s="69"/>
      <c r="M250" s="69"/>
      <c r="N250" s="69"/>
      <c r="O250" s="69"/>
      <c r="P250" s="69"/>
      <c r="Q250" s="9"/>
    </row>
    <row r="251" spans="1:17" ht="12" hidden="1" customHeight="1">
      <c r="A251" s="1"/>
      <c r="B251" s="1"/>
      <c r="C251" s="48" t="s">
        <v>25</v>
      </c>
      <c r="D251" s="62" t="s">
        <v>26</v>
      </c>
      <c r="E251" s="50">
        <v>10000</v>
      </c>
      <c r="F251" s="51">
        <v>25000</v>
      </c>
      <c r="G251" s="19"/>
      <c r="H251" s="26">
        <f t="shared" si="7"/>
        <v>15000</v>
      </c>
      <c r="I251" s="111">
        <f t="shared" si="8"/>
        <v>2.5</v>
      </c>
      <c r="J251" s="68"/>
      <c r="K251" s="68"/>
      <c r="L251" s="68"/>
      <c r="M251" s="68"/>
      <c r="N251" s="68"/>
      <c r="O251" s="68"/>
      <c r="P251" s="68"/>
      <c r="Q251" s="9"/>
    </row>
    <row r="252" spans="1:17" ht="12" hidden="1" customHeight="1">
      <c r="A252" s="1"/>
      <c r="B252" s="1"/>
      <c r="C252" s="48" t="s">
        <v>27</v>
      </c>
      <c r="D252" s="62" t="s">
        <v>28</v>
      </c>
      <c r="E252" s="50">
        <v>80000</v>
      </c>
      <c r="F252" s="51">
        <v>120000</v>
      </c>
      <c r="G252" s="19"/>
      <c r="H252" s="26">
        <f t="shared" si="7"/>
        <v>40000</v>
      </c>
      <c r="I252" s="111">
        <f t="shared" si="8"/>
        <v>1.5</v>
      </c>
      <c r="J252" s="69"/>
      <c r="K252" s="69"/>
      <c r="L252" s="69"/>
      <c r="M252" s="69"/>
      <c r="N252" s="69"/>
      <c r="O252" s="69"/>
      <c r="P252" s="69"/>
      <c r="Q252" s="9"/>
    </row>
    <row r="253" spans="1:17" ht="12" hidden="1" customHeight="1">
      <c r="A253" s="1"/>
      <c r="B253" s="1"/>
      <c r="C253" s="48" t="s">
        <v>29</v>
      </c>
      <c r="D253" s="62" t="s">
        <v>30</v>
      </c>
      <c r="E253" s="50">
        <v>150000</v>
      </c>
      <c r="F253" s="51">
        <v>230000</v>
      </c>
      <c r="G253" s="19"/>
      <c r="H253" s="26">
        <f t="shared" si="7"/>
        <v>80000</v>
      </c>
      <c r="I253" s="111">
        <f t="shared" si="8"/>
        <v>1.5333333333333334</v>
      </c>
      <c r="J253" s="69"/>
      <c r="K253" s="69"/>
      <c r="L253" s="69"/>
      <c r="M253" s="69"/>
      <c r="N253" s="69"/>
      <c r="O253" s="69"/>
      <c r="P253" s="69"/>
      <c r="Q253" s="9"/>
    </row>
    <row r="254" spans="1:17" ht="15" hidden="1" customHeight="1">
      <c r="A254" s="1"/>
      <c r="B254" s="1"/>
      <c r="C254" s="48" t="s">
        <v>31</v>
      </c>
      <c r="D254" s="62" t="s">
        <v>32</v>
      </c>
      <c r="E254" s="50">
        <v>10000</v>
      </c>
      <c r="F254" s="51">
        <v>25000</v>
      </c>
      <c r="G254" s="19"/>
      <c r="H254" s="26">
        <f t="shared" si="7"/>
        <v>15000</v>
      </c>
      <c r="I254" s="111">
        <f t="shared" si="8"/>
        <v>2.5</v>
      </c>
      <c r="J254" s="69"/>
      <c r="K254" s="69"/>
      <c r="L254" s="69"/>
      <c r="M254" s="69"/>
      <c r="N254" s="69"/>
      <c r="O254" s="69"/>
      <c r="P254" s="69"/>
      <c r="Q254" s="9"/>
    </row>
    <row r="255" spans="1:17" ht="22.5" hidden="1" customHeight="1">
      <c r="A255" s="1"/>
      <c r="B255" s="1"/>
      <c r="C255" s="48" t="s">
        <v>33</v>
      </c>
      <c r="D255" s="62" t="s">
        <v>34</v>
      </c>
      <c r="E255" s="50"/>
      <c r="F255" s="51">
        <v>0</v>
      </c>
      <c r="G255" s="19"/>
      <c r="H255" s="26">
        <f t="shared" si="7"/>
        <v>0</v>
      </c>
      <c r="I255" s="111" t="e">
        <f t="shared" si="8"/>
        <v>#DIV/0!</v>
      </c>
      <c r="J255" s="68"/>
      <c r="K255" s="68"/>
      <c r="L255" s="68"/>
      <c r="M255" s="68"/>
      <c r="N255" s="68"/>
      <c r="O255" s="68"/>
      <c r="P255" s="68"/>
      <c r="Q255" s="9"/>
    </row>
    <row r="256" spans="1:17" ht="24" customHeight="1">
      <c r="A256" s="1"/>
      <c r="B256" s="1"/>
      <c r="C256" s="44" t="s">
        <v>121</v>
      </c>
      <c r="D256" s="45" t="s">
        <v>122</v>
      </c>
      <c r="E256" s="46">
        <v>103096034.98</v>
      </c>
      <c r="F256" s="47">
        <f>F257+F258+F259+F260+F261+F262+F263+F264+F265+F266+F267+F268+F269+F271+F270</f>
        <v>118817234.49230769</v>
      </c>
      <c r="G256" s="19"/>
      <c r="H256" s="18">
        <f t="shared" si="7"/>
        <v>15721199.512307689</v>
      </c>
      <c r="I256" s="110">
        <f t="shared" si="8"/>
        <v>1.152490825814567</v>
      </c>
      <c r="J256" s="68"/>
      <c r="K256" s="68"/>
      <c r="L256" s="68"/>
      <c r="M256" s="68"/>
      <c r="N256" s="68"/>
      <c r="O256" s="68"/>
      <c r="P256" s="68"/>
      <c r="Q256" s="9"/>
    </row>
    <row r="257" spans="1:17" ht="12" customHeight="1">
      <c r="A257" s="1"/>
      <c r="B257" s="1"/>
      <c r="C257" s="48" t="s">
        <v>13</v>
      </c>
      <c r="D257" s="62" t="s">
        <v>14</v>
      </c>
      <c r="E257" s="50">
        <v>54322093</v>
      </c>
      <c r="F257" s="51">
        <f>F273+F287+F302+F317+F332+F347+F362+F377+F394+F424+F409+F379</f>
        <v>64065650.092307687</v>
      </c>
      <c r="G257" s="19"/>
      <c r="H257" s="26">
        <f t="shared" si="7"/>
        <v>9743557.0923076868</v>
      </c>
      <c r="I257" s="111">
        <f t="shared" si="8"/>
        <v>1.1793663784697634</v>
      </c>
      <c r="J257" s="68"/>
      <c r="K257" s="68"/>
      <c r="L257" s="68"/>
      <c r="M257" s="68"/>
      <c r="N257" s="68"/>
      <c r="O257" s="68"/>
      <c r="P257" s="68"/>
      <c r="Q257" s="9"/>
    </row>
    <row r="258" spans="1:17" ht="12" customHeight="1">
      <c r="A258" s="1"/>
      <c r="B258" s="1"/>
      <c r="C258" s="48" t="s">
        <v>15</v>
      </c>
      <c r="D258" s="62" t="s">
        <v>16</v>
      </c>
      <c r="E258" s="50">
        <v>11981824.98</v>
      </c>
      <c r="F258" s="51">
        <f>F274+F288+F303+F318+F333+F348+F363+F378+F395+F410+F425+F380</f>
        <v>14184762.399999999</v>
      </c>
      <c r="G258" s="19"/>
      <c r="H258" s="26">
        <f t="shared" si="7"/>
        <v>2202937.4199999981</v>
      </c>
      <c r="I258" s="111">
        <f t="shared" si="8"/>
        <v>1.1838565847587601</v>
      </c>
      <c r="J258" s="68"/>
      <c r="K258" s="68"/>
      <c r="L258" s="68"/>
      <c r="M258" s="68"/>
      <c r="N258" s="68"/>
      <c r="O258" s="68"/>
      <c r="P258" s="68"/>
      <c r="Q258" s="9"/>
    </row>
    <row r="259" spans="1:17" ht="15" customHeight="1">
      <c r="A259" s="1"/>
      <c r="B259" s="1"/>
      <c r="C259" s="48" t="s">
        <v>17</v>
      </c>
      <c r="D259" s="62" t="s">
        <v>18</v>
      </c>
      <c r="E259" s="50">
        <v>11286207</v>
      </c>
      <c r="F259" s="51">
        <f t="shared" ref="F259:F269" si="9">F275+F289+F304+F319+F334+F349+F364+F381+F396+F411+F426</f>
        <v>3700000</v>
      </c>
      <c r="G259" s="19"/>
      <c r="H259" s="26">
        <f t="shared" si="7"/>
        <v>-7586207</v>
      </c>
      <c r="I259" s="111">
        <f t="shared" si="8"/>
        <v>0.32783378862358276</v>
      </c>
      <c r="J259" s="9"/>
      <c r="K259" s="9"/>
      <c r="L259" s="9"/>
      <c r="M259" s="9"/>
      <c r="N259" s="9"/>
      <c r="O259" s="9"/>
      <c r="P259" s="9"/>
      <c r="Q259" s="9"/>
    </row>
    <row r="260" spans="1:17" ht="14.25" customHeight="1">
      <c r="A260" s="1"/>
      <c r="B260" s="1"/>
      <c r="C260" s="48" t="s">
        <v>106</v>
      </c>
      <c r="D260" s="62" t="s">
        <v>107</v>
      </c>
      <c r="E260" s="50">
        <v>5000</v>
      </c>
      <c r="F260" s="51">
        <f t="shared" si="9"/>
        <v>53252</v>
      </c>
      <c r="G260" s="19"/>
      <c r="H260" s="26">
        <f t="shared" si="7"/>
        <v>48252</v>
      </c>
      <c r="I260" s="111">
        <f t="shared" si="8"/>
        <v>10.650399999999999</v>
      </c>
      <c r="J260" s="9"/>
      <c r="K260" s="9"/>
      <c r="L260" s="9"/>
      <c r="M260" s="9"/>
      <c r="N260" s="9"/>
      <c r="O260" s="9"/>
      <c r="P260" s="9"/>
      <c r="Q260" s="9"/>
    </row>
    <row r="261" spans="1:17" ht="12" customHeight="1">
      <c r="A261" s="1"/>
      <c r="B261" s="1"/>
      <c r="C261" s="48" t="s">
        <v>108</v>
      </c>
      <c r="D261" s="62" t="s">
        <v>109</v>
      </c>
      <c r="E261" s="50">
        <v>1783300</v>
      </c>
      <c r="F261" s="51">
        <f t="shared" si="9"/>
        <v>12681430</v>
      </c>
      <c r="G261" s="19"/>
      <c r="H261" s="26">
        <f t="shared" si="7"/>
        <v>10898130</v>
      </c>
      <c r="I261" s="111">
        <f t="shared" si="8"/>
        <v>7.1112151629002414</v>
      </c>
    </row>
    <row r="262" spans="1:17" ht="12" customHeight="1">
      <c r="A262" s="1"/>
      <c r="B262" s="1"/>
      <c r="C262" s="48" t="s">
        <v>19</v>
      </c>
      <c r="D262" s="62" t="s">
        <v>20</v>
      </c>
      <c r="E262" s="50">
        <v>9527300</v>
      </c>
      <c r="F262" s="51">
        <f t="shared" si="9"/>
        <v>3200000</v>
      </c>
      <c r="G262" s="19"/>
      <c r="H262" s="26">
        <f t="shared" si="7"/>
        <v>-6327300</v>
      </c>
      <c r="I262" s="111">
        <f t="shared" si="8"/>
        <v>0.33587690111574109</v>
      </c>
    </row>
    <row r="263" spans="1:17" ht="12" customHeight="1">
      <c r="A263" s="1"/>
      <c r="B263" s="1"/>
      <c r="C263" s="48" t="s">
        <v>21</v>
      </c>
      <c r="D263" s="62" t="s">
        <v>22</v>
      </c>
      <c r="E263" s="50">
        <v>155950</v>
      </c>
      <c r="F263" s="51">
        <f t="shared" si="9"/>
        <v>185420</v>
      </c>
      <c r="G263" s="19"/>
      <c r="H263" s="26">
        <f t="shared" si="7"/>
        <v>29470</v>
      </c>
      <c r="I263" s="111">
        <f t="shared" si="8"/>
        <v>1.1889708239820456</v>
      </c>
    </row>
    <row r="264" spans="1:17" ht="12" customHeight="1">
      <c r="A264" s="1"/>
      <c r="B264" s="1"/>
      <c r="C264" s="48" t="s">
        <v>23</v>
      </c>
      <c r="D264" s="62" t="s">
        <v>24</v>
      </c>
      <c r="E264" s="50">
        <v>7450620</v>
      </c>
      <c r="F264" s="51">
        <f t="shared" si="9"/>
        <v>9985000</v>
      </c>
      <c r="G264" s="19"/>
      <c r="H264" s="26">
        <f t="shared" si="7"/>
        <v>2534380</v>
      </c>
      <c r="I264" s="111">
        <f t="shared" si="8"/>
        <v>1.3401569265376572</v>
      </c>
    </row>
    <row r="265" spans="1:17" ht="20.100000000000001" customHeight="1">
      <c r="A265" s="1"/>
      <c r="B265" s="1"/>
      <c r="C265" s="48" t="s">
        <v>25</v>
      </c>
      <c r="D265" s="62" t="s">
        <v>26</v>
      </c>
      <c r="E265" s="50">
        <v>504000</v>
      </c>
      <c r="F265" s="51">
        <f t="shared" si="9"/>
        <v>610020</v>
      </c>
      <c r="G265" s="19"/>
      <c r="H265" s="26">
        <f t="shared" si="7"/>
        <v>106020</v>
      </c>
      <c r="I265" s="111">
        <f t="shared" si="8"/>
        <v>1.2103571428571429</v>
      </c>
    </row>
    <row r="266" spans="1:17" ht="12" customHeight="1">
      <c r="A266" s="1"/>
      <c r="B266" s="1"/>
      <c r="C266" s="48" t="s">
        <v>27</v>
      </c>
      <c r="D266" s="62" t="s">
        <v>28</v>
      </c>
      <c r="E266" s="50">
        <v>3005070</v>
      </c>
      <c r="F266" s="51">
        <f t="shared" si="9"/>
        <v>4174500</v>
      </c>
      <c r="G266" s="19"/>
      <c r="H266" s="26">
        <f t="shared" ref="H266:H329" si="10">F266-E266</f>
        <v>1169430</v>
      </c>
      <c r="I266" s="111">
        <f t="shared" ref="I266:I329" si="11">F266/E266</f>
        <v>1.3891523325579771</v>
      </c>
    </row>
    <row r="267" spans="1:17" ht="12" customHeight="1">
      <c r="A267" s="1"/>
      <c r="B267" s="1"/>
      <c r="C267" s="48" t="s">
        <v>29</v>
      </c>
      <c r="D267" s="62" t="s">
        <v>30</v>
      </c>
      <c r="E267" s="50">
        <v>581450</v>
      </c>
      <c r="F267" s="51">
        <f t="shared" si="9"/>
        <v>1500000</v>
      </c>
      <c r="G267" s="19"/>
      <c r="H267" s="26">
        <f t="shared" si="10"/>
        <v>918550</v>
      </c>
      <c r="I267" s="111">
        <f t="shared" si="11"/>
        <v>2.5797575027947373</v>
      </c>
    </row>
    <row r="268" spans="1:17" ht="17.25" customHeight="1">
      <c r="A268" s="1"/>
      <c r="B268" s="1"/>
      <c r="C268" s="48" t="s">
        <v>31</v>
      </c>
      <c r="D268" s="62" t="s">
        <v>32</v>
      </c>
      <c r="E268" s="50">
        <v>1933000</v>
      </c>
      <c r="F268" s="51">
        <f t="shared" si="9"/>
        <v>3592200</v>
      </c>
      <c r="G268" s="19"/>
      <c r="H268" s="26">
        <f t="shared" si="10"/>
        <v>1659200</v>
      </c>
      <c r="I268" s="111">
        <f t="shared" si="11"/>
        <v>1.8583548887739265</v>
      </c>
    </row>
    <row r="269" spans="1:17" ht="23.25" customHeight="1">
      <c r="A269" s="1"/>
      <c r="B269" s="1"/>
      <c r="C269" s="48" t="s">
        <v>33</v>
      </c>
      <c r="D269" s="62" t="s">
        <v>34</v>
      </c>
      <c r="E269" s="50">
        <v>560220</v>
      </c>
      <c r="F269" s="51">
        <f t="shared" si="9"/>
        <v>335000</v>
      </c>
      <c r="G269" s="19"/>
      <c r="H269" s="26">
        <f t="shared" si="10"/>
        <v>-225220</v>
      </c>
      <c r="I269" s="111">
        <f t="shared" si="11"/>
        <v>0.59797936524936635</v>
      </c>
    </row>
    <row r="270" spans="1:17" ht="15" customHeight="1">
      <c r="A270" s="1"/>
      <c r="B270" s="1"/>
      <c r="C270" s="48">
        <v>2800</v>
      </c>
      <c r="D270" s="62" t="s">
        <v>36</v>
      </c>
      <c r="E270" s="50"/>
      <c r="F270" s="51">
        <v>10000</v>
      </c>
      <c r="G270" s="19"/>
      <c r="H270" s="26">
        <f t="shared" si="10"/>
        <v>10000</v>
      </c>
      <c r="I270" s="111"/>
    </row>
    <row r="271" spans="1:17" ht="23.25" customHeight="1">
      <c r="A271" s="1"/>
      <c r="B271" s="1"/>
      <c r="C271" s="48">
        <v>3110</v>
      </c>
      <c r="D271" s="62" t="s">
        <v>37</v>
      </c>
      <c r="E271" s="75">
        <v>575256</v>
      </c>
      <c r="F271" s="51">
        <f>F300+F315+F330+F345+F360+F375+F407+F422+F437</f>
        <v>540000</v>
      </c>
      <c r="G271" s="19"/>
      <c r="H271" s="26">
        <f t="shared" si="10"/>
        <v>-35256</v>
      </c>
      <c r="I271" s="111">
        <f t="shared" si="11"/>
        <v>0.93871250365054859</v>
      </c>
    </row>
    <row r="272" spans="1:17" ht="23.25" hidden="1" customHeight="1">
      <c r="A272" s="1"/>
      <c r="B272" s="1"/>
      <c r="C272" s="44" t="s">
        <v>121</v>
      </c>
      <c r="D272" s="45" t="s">
        <v>123</v>
      </c>
      <c r="E272" s="50"/>
      <c r="F272" s="47">
        <f>F273+F274+F275+F276+F277+F278+F279+F280+F281+F282+F283+F284+F285</f>
        <v>2134523</v>
      </c>
      <c r="G272" s="19"/>
      <c r="H272" s="18">
        <f t="shared" si="10"/>
        <v>2134523</v>
      </c>
      <c r="I272" s="111"/>
    </row>
    <row r="273" spans="1:9" ht="23.25" hidden="1" customHeight="1">
      <c r="A273" s="1"/>
      <c r="B273" s="1"/>
      <c r="C273" s="48">
        <v>2111</v>
      </c>
      <c r="D273" s="62" t="s">
        <v>14</v>
      </c>
      <c r="E273" s="76">
        <v>2500000</v>
      </c>
      <c r="F273" s="51">
        <f>2710000-1371720-G273</f>
        <v>1202290</v>
      </c>
      <c r="G273" s="19">
        <v>135990</v>
      </c>
      <c r="H273" s="26">
        <f t="shared" si="10"/>
        <v>-1297710</v>
      </c>
      <c r="I273" s="111">
        <f t="shared" si="11"/>
        <v>0.48091600000000001</v>
      </c>
    </row>
    <row r="274" spans="1:9" ht="23.25" hidden="1" customHeight="1">
      <c r="A274" s="1"/>
      <c r="B274" s="1"/>
      <c r="C274" s="48">
        <v>2120</v>
      </c>
      <c r="D274" s="62" t="s">
        <v>16</v>
      </c>
      <c r="E274" s="76">
        <v>550000</v>
      </c>
      <c r="F274" s="51">
        <f>596200-301778-G274</f>
        <v>268841</v>
      </c>
      <c r="G274" s="19">
        <v>25581</v>
      </c>
      <c r="H274" s="26">
        <f t="shared" si="10"/>
        <v>-281159</v>
      </c>
      <c r="I274" s="111">
        <f t="shared" si="11"/>
        <v>0.48880181818181817</v>
      </c>
    </row>
    <row r="275" spans="1:9" ht="23.25" hidden="1" customHeight="1">
      <c r="A275" s="1"/>
      <c r="B275" s="1"/>
      <c r="C275" s="48" t="s">
        <v>17</v>
      </c>
      <c r="D275" s="62" t="s">
        <v>18</v>
      </c>
      <c r="E275" s="76">
        <v>310000</v>
      </c>
      <c r="F275" s="51">
        <v>100000</v>
      </c>
      <c r="G275" s="19"/>
      <c r="H275" s="26">
        <f t="shared" si="10"/>
        <v>-210000</v>
      </c>
      <c r="I275" s="111">
        <f t="shared" si="11"/>
        <v>0.32258064516129031</v>
      </c>
    </row>
    <row r="276" spans="1:9" ht="23.25" hidden="1" customHeight="1">
      <c r="A276" s="1"/>
      <c r="B276" s="1"/>
      <c r="C276" s="48" t="s">
        <v>106</v>
      </c>
      <c r="D276" s="62" t="s">
        <v>107</v>
      </c>
      <c r="E276" s="76">
        <v>3000</v>
      </c>
      <c r="F276" s="51">
        <v>3252</v>
      </c>
      <c r="G276" s="19"/>
      <c r="H276" s="26">
        <f t="shared" si="10"/>
        <v>252</v>
      </c>
      <c r="I276" s="111">
        <f t="shared" si="11"/>
        <v>1.0840000000000001</v>
      </c>
    </row>
    <row r="277" spans="1:9" ht="23.25" hidden="1" customHeight="1">
      <c r="A277" s="1"/>
      <c r="B277" s="1"/>
      <c r="C277" s="48" t="s">
        <v>108</v>
      </c>
      <c r="D277" s="62" t="s">
        <v>109</v>
      </c>
      <c r="E277" s="76">
        <v>200000</v>
      </c>
      <c r="F277" s="51">
        <v>100000</v>
      </c>
      <c r="G277" s="19" t="e">
        <f>#REF!+#REF!</f>
        <v>#REF!</v>
      </c>
      <c r="H277" s="26">
        <f t="shared" si="10"/>
        <v>-100000</v>
      </c>
      <c r="I277" s="111">
        <f t="shared" si="11"/>
        <v>0.5</v>
      </c>
    </row>
    <row r="278" spans="1:9" ht="23.25" hidden="1" customHeight="1">
      <c r="A278" s="1"/>
      <c r="B278" s="1"/>
      <c r="C278" s="48" t="s">
        <v>19</v>
      </c>
      <c r="D278" s="62" t="s">
        <v>20</v>
      </c>
      <c r="E278" s="76">
        <v>80000</v>
      </c>
      <c r="F278" s="51">
        <v>150000</v>
      </c>
      <c r="G278" s="19"/>
      <c r="H278" s="26">
        <f t="shared" si="10"/>
        <v>70000</v>
      </c>
      <c r="I278" s="111">
        <f t="shared" si="11"/>
        <v>1.875</v>
      </c>
    </row>
    <row r="279" spans="1:9" ht="23.25" hidden="1" customHeight="1">
      <c r="A279" s="1"/>
      <c r="B279" s="1"/>
      <c r="C279" s="48" t="s">
        <v>21</v>
      </c>
      <c r="D279" s="62" t="s">
        <v>22</v>
      </c>
      <c r="E279" s="76">
        <v>5000</v>
      </c>
      <c r="F279" s="51">
        <v>5420</v>
      </c>
      <c r="G279" s="19"/>
      <c r="H279" s="26">
        <f t="shared" si="10"/>
        <v>420</v>
      </c>
      <c r="I279" s="111">
        <f t="shared" si="11"/>
        <v>1.0840000000000001</v>
      </c>
    </row>
    <row r="280" spans="1:9" ht="23.25" hidden="1" customHeight="1">
      <c r="A280" s="1"/>
      <c r="B280" s="1"/>
      <c r="C280" s="48" t="s">
        <v>23</v>
      </c>
      <c r="D280" s="62" t="s">
        <v>24</v>
      </c>
      <c r="E280" s="70"/>
      <c r="F280" s="51">
        <v>0</v>
      </c>
      <c r="G280" s="19"/>
      <c r="H280" s="26">
        <f t="shared" si="10"/>
        <v>0</v>
      </c>
      <c r="I280" s="111"/>
    </row>
    <row r="281" spans="1:9" ht="23.25" hidden="1" customHeight="1">
      <c r="A281" s="1"/>
      <c r="B281" s="1"/>
      <c r="C281" s="48" t="s">
        <v>25</v>
      </c>
      <c r="D281" s="62" t="s">
        <v>26</v>
      </c>
      <c r="E281" s="76">
        <v>30000</v>
      </c>
      <c r="F281" s="51">
        <v>32520</v>
      </c>
      <c r="G281" s="19"/>
      <c r="H281" s="26">
        <f t="shared" si="10"/>
        <v>2520</v>
      </c>
      <c r="I281" s="111">
        <f t="shared" si="11"/>
        <v>1.0840000000000001</v>
      </c>
    </row>
    <row r="282" spans="1:9" ht="23.25" hidden="1" customHeight="1">
      <c r="A282" s="1"/>
      <c r="B282" s="1"/>
      <c r="C282" s="48" t="s">
        <v>27</v>
      </c>
      <c r="D282" s="62" t="s">
        <v>28</v>
      </c>
      <c r="E282" s="76">
        <v>250000</v>
      </c>
      <c r="F282" s="51">
        <v>271000</v>
      </c>
      <c r="G282" s="19"/>
      <c r="H282" s="26">
        <f t="shared" si="10"/>
        <v>21000</v>
      </c>
      <c r="I282" s="111">
        <f t="shared" si="11"/>
        <v>1.0840000000000001</v>
      </c>
    </row>
    <row r="283" spans="1:9" ht="23.25" hidden="1" customHeight="1">
      <c r="A283" s="1"/>
      <c r="B283" s="1"/>
      <c r="C283" s="48" t="s">
        <v>29</v>
      </c>
      <c r="D283" s="62" t="s">
        <v>30</v>
      </c>
      <c r="E283" s="70"/>
      <c r="F283" s="51">
        <v>0</v>
      </c>
      <c r="G283" s="19"/>
      <c r="H283" s="26">
        <f t="shared" si="10"/>
        <v>0</v>
      </c>
      <c r="I283" s="111"/>
    </row>
    <row r="284" spans="1:9" ht="23.25" hidden="1" customHeight="1">
      <c r="A284" s="1"/>
      <c r="B284" s="1"/>
      <c r="C284" s="48" t="s">
        <v>31</v>
      </c>
      <c r="D284" s="62" t="s">
        <v>32</v>
      </c>
      <c r="E284" s="70"/>
      <c r="F284" s="51">
        <v>1200</v>
      </c>
      <c r="G284" s="19"/>
      <c r="H284" s="26">
        <f t="shared" si="10"/>
        <v>1200</v>
      </c>
      <c r="I284" s="111"/>
    </row>
    <row r="285" spans="1:9" ht="23.25" hidden="1" customHeight="1">
      <c r="A285" s="1"/>
      <c r="B285" s="1"/>
      <c r="C285" s="48" t="s">
        <v>33</v>
      </c>
      <c r="D285" s="62" t="s">
        <v>34</v>
      </c>
      <c r="E285" s="70"/>
      <c r="F285" s="51">
        <v>0</v>
      </c>
      <c r="G285" s="19"/>
      <c r="H285" s="26">
        <f t="shared" si="10"/>
        <v>0</v>
      </c>
      <c r="I285" s="111"/>
    </row>
    <row r="286" spans="1:9" ht="23.25" hidden="1" customHeight="1">
      <c r="A286" s="1"/>
      <c r="B286" s="1"/>
      <c r="C286" s="44" t="s">
        <v>121</v>
      </c>
      <c r="D286" s="45" t="s">
        <v>124</v>
      </c>
      <c r="E286" s="50"/>
      <c r="F286" s="47">
        <f>F287+F288+F289+F290+F291+F292+F293+F294+F295+F296+F297+F298+F299+F300</f>
        <v>4742356</v>
      </c>
      <c r="G286" s="19"/>
      <c r="H286" s="18">
        <f t="shared" si="10"/>
        <v>4742356</v>
      </c>
      <c r="I286" s="111"/>
    </row>
    <row r="287" spans="1:9" ht="23.25" hidden="1" customHeight="1">
      <c r="A287" s="1"/>
      <c r="B287" s="1"/>
      <c r="C287" s="48">
        <v>2111</v>
      </c>
      <c r="D287" s="62" t="s">
        <v>14</v>
      </c>
      <c r="E287" s="50"/>
      <c r="F287" s="74">
        <f>5716483-3029430-G287</f>
        <v>2275296</v>
      </c>
      <c r="G287" s="19">
        <v>411757</v>
      </c>
      <c r="H287" s="26">
        <f t="shared" si="10"/>
        <v>2275296</v>
      </c>
      <c r="I287" s="111"/>
    </row>
    <row r="288" spans="1:9" ht="23.25" hidden="1" customHeight="1">
      <c r="A288" s="1"/>
      <c r="B288" s="1"/>
      <c r="C288" s="48">
        <v>2120</v>
      </c>
      <c r="D288" s="62" t="s">
        <v>16</v>
      </c>
      <c r="E288" s="50"/>
      <c r="F288" s="74">
        <f>1257627-666480-G288</f>
        <v>500560</v>
      </c>
      <c r="G288" s="19">
        <v>90587</v>
      </c>
      <c r="H288" s="26">
        <f t="shared" si="10"/>
        <v>500560</v>
      </c>
      <c r="I288" s="111"/>
    </row>
    <row r="289" spans="1:9" ht="23.25" hidden="1" customHeight="1">
      <c r="A289" s="1"/>
      <c r="B289" s="1"/>
      <c r="C289" s="48" t="s">
        <v>17</v>
      </c>
      <c r="D289" s="62" t="s">
        <v>18</v>
      </c>
      <c r="E289" s="50"/>
      <c r="F289" s="51">
        <v>350000</v>
      </c>
      <c r="G289" s="19"/>
      <c r="H289" s="26">
        <f t="shared" si="10"/>
        <v>350000</v>
      </c>
      <c r="I289" s="111"/>
    </row>
    <row r="290" spans="1:9" ht="23.25" hidden="1" customHeight="1">
      <c r="A290" s="1"/>
      <c r="B290" s="1"/>
      <c r="C290" s="48" t="s">
        <v>106</v>
      </c>
      <c r="D290" s="62" t="s">
        <v>107</v>
      </c>
      <c r="E290" s="50"/>
      <c r="F290" s="51">
        <v>0</v>
      </c>
      <c r="G290" s="19"/>
      <c r="H290" s="26">
        <f t="shared" si="10"/>
        <v>0</v>
      </c>
      <c r="I290" s="111"/>
    </row>
    <row r="291" spans="1:9" ht="23.25" hidden="1" customHeight="1">
      <c r="A291" s="1"/>
      <c r="B291" s="1"/>
      <c r="C291" s="48" t="s">
        <v>108</v>
      </c>
      <c r="D291" s="62" t="s">
        <v>109</v>
      </c>
      <c r="E291" s="50"/>
      <c r="F291" s="51">
        <v>252500</v>
      </c>
      <c r="G291" s="19"/>
      <c r="H291" s="26">
        <f t="shared" si="10"/>
        <v>252500</v>
      </c>
      <c r="I291" s="111"/>
    </row>
    <row r="292" spans="1:9" ht="23.25" hidden="1" customHeight="1">
      <c r="A292" s="1"/>
      <c r="B292" s="1"/>
      <c r="C292" s="48" t="s">
        <v>19</v>
      </c>
      <c r="D292" s="62" t="s">
        <v>20</v>
      </c>
      <c r="E292" s="50"/>
      <c r="F292" s="51">
        <v>300000</v>
      </c>
      <c r="G292" s="19"/>
      <c r="H292" s="26">
        <f t="shared" si="10"/>
        <v>300000</v>
      </c>
      <c r="I292" s="111"/>
    </row>
    <row r="293" spans="1:9" ht="23.25" hidden="1" customHeight="1">
      <c r="A293" s="1"/>
      <c r="B293" s="1"/>
      <c r="C293" s="48" t="s">
        <v>21</v>
      </c>
      <c r="D293" s="62" t="s">
        <v>22</v>
      </c>
      <c r="E293" s="50"/>
      <c r="F293" s="51">
        <v>5000</v>
      </c>
      <c r="G293" s="19"/>
      <c r="H293" s="26">
        <f t="shared" si="10"/>
        <v>5000</v>
      </c>
      <c r="I293" s="111"/>
    </row>
    <row r="294" spans="1:9" ht="23.25" hidden="1" customHeight="1">
      <c r="A294" s="1"/>
      <c r="B294" s="1"/>
      <c r="C294" s="48" t="s">
        <v>23</v>
      </c>
      <c r="D294" s="62" t="s">
        <v>24</v>
      </c>
      <c r="E294" s="50"/>
      <c r="F294" s="51">
        <v>850000</v>
      </c>
      <c r="G294" s="19"/>
      <c r="H294" s="26">
        <f t="shared" si="10"/>
        <v>850000</v>
      </c>
      <c r="I294" s="111"/>
    </row>
    <row r="295" spans="1:9" ht="23.25" hidden="1" customHeight="1">
      <c r="A295" s="1"/>
      <c r="B295" s="1"/>
      <c r="C295" s="48" t="s">
        <v>25</v>
      </c>
      <c r="D295" s="62" t="s">
        <v>26</v>
      </c>
      <c r="E295" s="50"/>
      <c r="F295" s="51">
        <v>0</v>
      </c>
      <c r="G295" s="19"/>
      <c r="H295" s="26">
        <f t="shared" si="10"/>
        <v>0</v>
      </c>
      <c r="I295" s="111"/>
    </row>
    <row r="296" spans="1:9" ht="23.25" hidden="1" customHeight="1">
      <c r="A296" s="1"/>
      <c r="B296" s="1"/>
      <c r="C296" s="48" t="s">
        <v>27</v>
      </c>
      <c r="D296" s="62" t="s">
        <v>28</v>
      </c>
      <c r="E296" s="50"/>
      <c r="F296" s="51">
        <v>106000</v>
      </c>
      <c r="G296" s="19"/>
      <c r="H296" s="26">
        <f t="shared" si="10"/>
        <v>106000</v>
      </c>
      <c r="I296" s="111"/>
    </row>
    <row r="297" spans="1:9" ht="23.25" hidden="1" customHeight="1">
      <c r="A297" s="1"/>
      <c r="B297" s="1"/>
      <c r="C297" s="48" t="s">
        <v>29</v>
      </c>
      <c r="D297" s="62" t="s">
        <v>30</v>
      </c>
      <c r="E297" s="50"/>
      <c r="F297" s="51">
        <v>0</v>
      </c>
      <c r="G297" s="19"/>
      <c r="H297" s="26">
        <f t="shared" si="10"/>
        <v>0</v>
      </c>
      <c r="I297" s="111"/>
    </row>
    <row r="298" spans="1:9" ht="23.25" hidden="1" customHeight="1">
      <c r="A298" s="1"/>
      <c r="B298" s="1"/>
      <c r="C298" s="48" t="s">
        <v>31</v>
      </c>
      <c r="D298" s="62" t="s">
        <v>32</v>
      </c>
      <c r="E298" s="50"/>
      <c r="F298" s="51">
        <v>30000</v>
      </c>
      <c r="G298" s="19"/>
      <c r="H298" s="26">
        <f t="shared" si="10"/>
        <v>30000</v>
      </c>
      <c r="I298" s="111"/>
    </row>
    <row r="299" spans="1:9" ht="23.25" hidden="1" customHeight="1">
      <c r="A299" s="1"/>
      <c r="B299" s="1"/>
      <c r="C299" s="48" t="s">
        <v>33</v>
      </c>
      <c r="D299" s="62" t="s">
        <v>34</v>
      </c>
      <c r="E299" s="50"/>
      <c r="F299" s="51">
        <v>13000</v>
      </c>
      <c r="G299" s="19"/>
      <c r="H299" s="26">
        <f t="shared" si="10"/>
        <v>13000</v>
      </c>
      <c r="I299" s="111"/>
    </row>
    <row r="300" spans="1:9" ht="23.25" hidden="1" customHeight="1">
      <c r="A300" s="1"/>
      <c r="B300" s="1"/>
      <c r="C300" s="48">
        <v>3110</v>
      </c>
      <c r="D300" s="62" t="s">
        <v>37</v>
      </c>
      <c r="E300" s="77"/>
      <c r="F300" s="51">
        <v>60000</v>
      </c>
      <c r="G300" s="19"/>
      <c r="H300" s="26">
        <f t="shared" si="10"/>
        <v>60000</v>
      </c>
      <c r="I300" s="111"/>
    </row>
    <row r="301" spans="1:9" ht="23.25" hidden="1" customHeight="1">
      <c r="A301" s="1"/>
      <c r="B301" s="1"/>
      <c r="C301" s="44" t="s">
        <v>121</v>
      </c>
      <c r="D301" s="45" t="s">
        <v>125</v>
      </c>
      <c r="E301" s="50"/>
      <c r="F301" s="47">
        <f>F302+F303+F304+F305+F306+F307+F308+F309+F310+F311+F312+F313+F314+F315</f>
        <v>18104554.707692306</v>
      </c>
      <c r="G301" s="19"/>
      <c r="H301" s="18">
        <f t="shared" si="10"/>
        <v>18104554.707692306</v>
      </c>
      <c r="I301" s="111"/>
    </row>
    <row r="302" spans="1:9" ht="23.25" hidden="1" customHeight="1">
      <c r="A302" s="1"/>
      <c r="B302" s="1"/>
      <c r="C302" s="48">
        <v>2111</v>
      </c>
      <c r="D302" s="62" t="s">
        <v>14</v>
      </c>
      <c r="E302" s="77">
        <v>20239000</v>
      </c>
      <c r="F302" s="74">
        <f>28682626-17031016-G302</f>
        <v>9679799.0769230761</v>
      </c>
      <c r="G302" s="19">
        <v>1971810.923076923</v>
      </c>
      <c r="H302" s="26">
        <f t="shared" si="10"/>
        <v>-10559200.923076924</v>
      </c>
      <c r="I302" s="111">
        <f t="shared" si="11"/>
        <v>0.47827457270236057</v>
      </c>
    </row>
    <row r="303" spans="1:9" ht="23.25" hidden="1" customHeight="1">
      <c r="A303" s="1"/>
      <c r="B303" s="1"/>
      <c r="C303" s="48">
        <v>2120</v>
      </c>
      <c r="D303" s="62" t="s">
        <v>16</v>
      </c>
      <c r="E303" s="77">
        <v>4452600</v>
      </c>
      <c r="F303" s="74">
        <f>6310178-3746824-G303</f>
        <v>2129555.6307692309</v>
      </c>
      <c r="G303" s="19">
        <v>433798.36923076928</v>
      </c>
      <c r="H303" s="26">
        <f t="shared" si="10"/>
        <v>-2323044.3692307691</v>
      </c>
      <c r="I303" s="111">
        <f t="shared" si="11"/>
        <v>0.47827238709276171</v>
      </c>
    </row>
    <row r="304" spans="1:9" ht="23.25" hidden="1" customHeight="1">
      <c r="A304" s="1"/>
      <c r="B304" s="1"/>
      <c r="C304" s="48" t="s">
        <v>17</v>
      </c>
      <c r="D304" s="62" t="s">
        <v>18</v>
      </c>
      <c r="E304" s="78">
        <v>3130000</v>
      </c>
      <c r="F304" s="51">
        <v>350000</v>
      </c>
      <c r="G304" s="19"/>
      <c r="H304" s="26">
        <f t="shared" si="10"/>
        <v>-2780000</v>
      </c>
      <c r="I304" s="111">
        <f t="shared" si="11"/>
        <v>0.11182108626198083</v>
      </c>
    </row>
    <row r="305" spans="1:9" ht="23.25" hidden="1" customHeight="1">
      <c r="A305" s="1"/>
      <c r="B305" s="1"/>
      <c r="C305" s="48" t="s">
        <v>106</v>
      </c>
      <c r="D305" s="62" t="s">
        <v>107</v>
      </c>
      <c r="E305" s="78">
        <v>0</v>
      </c>
      <c r="F305" s="51">
        <v>0</v>
      </c>
      <c r="G305" s="19"/>
      <c r="H305" s="26">
        <f t="shared" si="10"/>
        <v>0</v>
      </c>
      <c r="I305" s="111"/>
    </row>
    <row r="306" spans="1:9" ht="23.25" hidden="1" customHeight="1">
      <c r="A306" s="1"/>
      <c r="B306" s="1"/>
      <c r="C306" s="48" t="s">
        <v>108</v>
      </c>
      <c r="D306" s="62" t="s">
        <v>109</v>
      </c>
      <c r="E306" s="77">
        <v>1348000</v>
      </c>
      <c r="F306" s="51">
        <v>1825200</v>
      </c>
      <c r="G306" s="19"/>
      <c r="H306" s="26">
        <f t="shared" si="10"/>
        <v>477200</v>
      </c>
      <c r="I306" s="111">
        <f t="shared" si="11"/>
        <v>1.3540059347181008</v>
      </c>
    </row>
    <row r="307" spans="1:9" ht="23.25" hidden="1" customHeight="1">
      <c r="A307" s="1"/>
      <c r="B307" s="1"/>
      <c r="C307" s="48" t="s">
        <v>19</v>
      </c>
      <c r="D307" s="62" t="s">
        <v>20</v>
      </c>
      <c r="E307" s="79">
        <v>3500000</v>
      </c>
      <c r="F307" s="51">
        <v>300000</v>
      </c>
      <c r="G307" s="19"/>
      <c r="H307" s="26">
        <f t="shared" si="10"/>
        <v>-3200000</v>
      </c>
      <c r="I307" s="111">
        <f t="shared" si="11"/>
        <v>8.5714285714285715E-2</v>
      </c>
    </row>
    <row r="308" spans="1:9" ht="23.25" hidden="1" customHeight="1">
      <c r="A308" s="1"/>
      <c r="B308" s="1"/>
      <c r="C308" s="48" t="s">
        <v>21</v>
      </c>
      <c r="D308" s="62" t="s">
        <v>22</v>
      </c>
      <c r="E308" s="79">
        <v>20000</v>
      </c>
      <c r="F308" s="51">
        <v>20000</v>
      </c>
      <c r="G308" s="19"/>
      <c r="H308" s="26">
        <f t="shared" si="10"/>
        <v>0</v>
      </c>
      <c r="I308" s="111">
        <f t="shared" si="11"/>
        <v>1</v>
      </c>
    </row>
    <row r="309" spans="1:9" ht="23.25" hidden="1" customHeight="1">
      <c r="A309" s="1"/>
      <c r="B309" s="1"/>
      <c r="C309" s="48" t="s">
        <v>23</v>
      </c>
      <c r="D309" s="62" t="s">
        <v>24</v>
      </c>
      <c r="E309" s="79">
        <v>2700000</v>
      </c>
      <c r="F309" s="51">
        <v>3000000</v>
      </c>
      <c r="G309" s="19"/>
      <c r="H309" s="26">
        <f t="shared" si="10"/>
        <v>300000</v>
      </c>
      <c r="I309" s="111">
        <f t="shared" si="11"/>
        <v>1.1111111111111112</v>
      </c>
    </row>
    <row r="310" spans="1:9" ht="23.25" hidden="1" customHeight="1">
      <c r="A310" s="1"/>
      <c r="B310" s="1"/>
      <c r="C310" s="48" t="s">
        <v>25</v>
      </c>
      <c r="D310" s="62" t="s">
        <v>26</v>
      </c>
      <c r="E310" s="77">
        <v>80000</v>
      </c>
      <c r="F310" s="51">
        <v>100000</v>
      </c>
      <c r="G310" s="19"/>
      <c r="H310" s="26">
        <f t="shared" si="10"/>
        <v>20000</v>
      </c>
      <c r="I310" s="111">
        <f t="shared" si="11"/>
        <v>1.25</v>
      </c>
    </row>
    <row r="311" spans="1:9" ht="23.25" hidden="1" customHeight="1">
      <c r="A311" s="1"/>
      <c r="B311" s="1"/>
      <c r="C311" s="48" t="s">
        <v>27</v>
      </c>
      <c r="D311" s="62" t="s">
        <v>28</v>
      </c>
      <c r="E311" s="77">
        <v>500000</v>
      </c>
      <c r="F311" s="51">
        <v>550000</v>
      </c>
      <c r="G311" s="19"/>
      <c r="H311" s="26">
        <f t="shared" si="10"/>
        <v>50000</v>
      </c>
      <c r="I311" s="111">
        <f t="shared" si="11"/>
        <v>1.1000000000000001</v>
      </c>
    </row>
    <row r="312" spans="1:9" ht="23.25" hidden="1" customHeight="1">
      <c r="A312" s="1"/>
      <c r="B312" s="1"/>
      <c r="C312" s="48" t="s">
        <v>29</v>
      </c>
      <c r="D312" s="62" t="s">
        <v>30</v>
      </c>
      <c r="E312" s="50"/>
      <c r="F312" s="51">
        <v>0</v>
      </c>
      <c r="G312" s="19"/>
      <c r="H312" s="26">
        <f t="shared" si="10"/>
        <v>0</v>
      </c>
      <c r="I312" s="111"/>
    </row>
    <row r="313" spans="1:9" ht="23.25" hidden="1" customHeight="1">
      <c r="A313" s="1"/>
      <c r="B313" s="1"/>
      <c r="C313" s="48" t="s">
        <v>31</v>
      </c>
      <c r="D313" s="62" t="s">
        <v>32</v>
      </c>
      <c r="E313" s="77">
        <v>50000</v>
      </c>
      <c r="F313" s="51">
        <v>55000</v>
      </c>
      <c r="G313" s="19"/>
      <c r="H313" s="26">
        <f t="shared" si="10"/>
        <v>5000</v>
      </c>
      <c r="I313" s="111">
        <f t="shared" si="11"/>
        <v>1.1000000000000001</v>
      </c>
    </row>
    <row r="314" spans="1:9" ht="23.25" hidden="1" customHeight="1">
      <c r="A314" s="1"/>
      <c r="B314" s="1"/>
      <c r="C314" s="48" t="s">
        <v>33</v>
      </c>
      <c r="D314" s="62" t="s">
        <v>34</v>
      </c>
      <c r="E314" s="77">
        <v>28000</v>
      </c>
      <c r="F314" s="51">
        <v>35000</v>
      </c>
      <c r="G314" s="19"/>
      <c r="H314" s="26">
        <f t="shared" si="10"/>
        <v>7000</v>
      </c>
      <c r="I314" s="111">
        <f t="shared" si="11"/>
        <v>1.25</v>
      </c>
    </row>
    <row r="315" spans="1:9" ht="23.25" hidden="1" customHeight="1">
      <c r="A315" s="1"/>
      <c r="B315" s="1"/>
      <c r="C315" s="48">
        <v>3110</v>
      </c>
      <c r="D315" s="62" t="s">
        <v>37</v>
      </c>
      <c r="E315" s="77"/>
      <c r="F315" s="51">
        <v>60000</v>
      </c>
      <c r="G315" s="19"/>
      <c r="H315" s="26">
        <f t="shared" si="10"/>
        <v>60000</v>
      </c>
      <c r="I315" s="111"/>
    </row>
    <row r="316" spans="1:9" ht="23.25" hidden="1" customHeight="1">
      <c r="A316" s="1"/>
      <c r="B316" s="1"/>
      <c r="C316" s="44" t="s">
        <v>121</v>
      </c>
      <c r="D316" s="45" t="s">
        <v>126</v>
      </c>
      <c r="E316" s="50"/>
      <c r="F316" s="47">
        <f>F317+F318+F319+F320+F321+F322+F323+F324+F325+F326+F327+F328+F329+F330</f>
        <v>9204209</v>
      </c>
      <c r="G316" s="19"/>
      <c r="H316" s="18">
        <f t="shared" si="10"/>
        <v>9204209</v>
      </c>
      <c r="I316" s="111"/>
    </row>
    <row r="317" spans="1:9" ht="23.25" hidden="1" customHeight="1">
      <c r="A317" s="1"/>
      <c r="B317" s="1"/>
      <c r="C317" s="48">
        <v>2111</v>
      </c>
      <c r="D317" s="62" t="s">
        <v>14</v>
      </c>
      <c r="E317" s="77">
        <v>26661000</v>
      </c>
      <c r="F317" s="74">
        <f>29513937-24349108-G317</f>
        <v>4379023</v>
      </c>
      <c r="G317" s="19">
        <v>785806</v>
      </c>
      <c r="H317" s="26">
        <f t="shared" si="10"/>
        <v>-22281977</v>
      </c>
      <c r="I317" s="111">
        <f t="shared" si="11"/>
        <v>0.16424826525636699</v>
      </c>
    </row>
    <row r="318" spans="1:9" ht="23.25" hidden="1" customHeight="1">
      <c r="A318" s="1"/>
      <c r="B318" s="1"/>
      <c r="C318" s="48">
        <v>2120</v>
      </c>
      <c r="D318" s="62" t="s">
        <v>16</v>
      </c>
      <c r="E318" s="77">
        <v>5865500</v>
      </c>
      <c r="F318" s="74">
        <f>6493067-5356804-G318</f>
        <v>963386</v>
      </c>
      <c r="G318" s="19">
        <v>172877</v>
      </c>
      <c r="H318" s="26">
        <f t="shared" si="10"/>
        <v>-4902114</v>
      </c>
      <c r="I318" s="111">
        <f t="shared" si="11"/>
        <v>0.16424618532094451</v>
      </c>
    </row>
    <row r="319" spans="1:9" ht="23.25" hidden="1" customHeight="1">
      <c r="A319" s="1"/>
      <c r="B319" s="1"/>
      <c r="C319" s="48" t="s">
        <v>17</v>
      </c>
      <c r="D319" s="62" t="s">
        <v>18</v>
      </c>
      <c r="E319" s="78">
        <v>2910000</v>
      </c>
      <c r="F319" s="51">
        <v>350000</v>
      </c>
      <c r="G319" s="19"/>
      <c r="H319" s="26">
        <f t="shared" si="10"/>
        <v>-2560000</v>
      </c>
      <c r="I319" s="111">
        <f t="shared" si="11"/>
        <v>0.12027491408934708</v>
      </c>
    </row>
    <row r="320" spans="1:9" ht="23.25" hidden="1" customHeight="1">
      <c r="A320" s="1"/>
      <c r="B320" s="1"/>
      <c r="C320" s="48" t="s">
        <v>106</v>
      </c>
      <c r="D320" s="62" t="s">
        <v>107</v>
      </c>
      <c r="E320" s="78"/>
      <c r="F320" s="51">
        <v>0</v>
      </c>
      <c r="G320" s="19"/>
      <c r="H320" s="26">
        <f t="shared" si="10"/>
        <v>0</v>
      </c>
      <c r="I320" s="111"/>
    </row>
    <row r="321" spans="1:9" ht="23.25" hidden="1" customHeight="1">
      <c r="A321" s="1"/>
      <c r="B321" s="1"/>
      <c r="C321" s="48" t="s">
        <v>108</v>
      </c>
      <c r="D321" s="62" t="s">
        <v>109</v>
      </c>
      <c r="E321" s="77">
        <v>1255000</v>
      </c>
      <c r="F321" s="51">
        <v>1651800</v>
      </c>
      <c r="G321" s="19"/>
      <c r="H321" s="26">
        <f t="shared" si="10"/>
        <v>396800</v>
      </c>
      <c r="I321" s="111">
        <f t="shared" si="11"/>
        <v>1.3161752988047808</v>
      </c>
    </row>
    <row r="322" spans="1:9" ht="23.25" hidden="1" customHeight="1">
      <c r="A322" s="1"/>
      <c r="B322" s="1"/>
      <c r="C322" s="48" t="s">
        <v>19</v>
      </c>
      <c r="D322" s="62" t="s">
        <v>20</v>
      </c>
      <c r="E322" s="79">
        <v>5940000</v>
      </c>
      <c r="F322" s="51">
        <v>300000</v>
      </c>
      <c r="G322" s="19"/>
      <c r="H322" s="26">
        <f t="shared" si="10"/>
        <v>-5640000</v>
      </c>
      <c r="I322" s="111">
        <f t="shared" si="11"/>
        <v>5.0505050505050504E-2</v>
      </c>
    </row>
    <row r="323" spans="1:9" ht="23.25" hidden="1" customHeight="1">
      <c r="A323" s="1"/>
      <c r="B323" s="1"/>
      <c r="C323" s="48" t="s">
        <v>21</v>
      </c>
      <c r="D323" s="62" t="s">
        <v>22</v>
      </c>
      <c r="E323" s="79">
        <v>30000</v>
      </c>
      <c r="F323" s="51">
        <v>30000</v>
      </c>
      <c r="G323" s="19"/>
      <c r="H323" s="26">
        <f t="shared" si="10"/>
        <v>0</v>
      </c>
      <c r="I323" s="111">
        <f t="shared" si="11"/>
        <v>1</v>
      </c>
    </row>
    <row r="324" spans="1:9" ht="23.25" hidden="1" customHeight="1">
      <c r="A324" s="1"/>
      <c r="B324" s="1"/>
      <c r="C324" s="48" t="s">
        <v>23</v>
      </c>
      <c r="D324" s="62" t="s">
        <v>24</v>
      </c>
      <c r="E324" s="79">
        <v>750000</v>
      </c>
      <c r="F324" s="51">
        <v>900000</v>
      </c>
      <c r="G324" s="19"/>
      <c r="H324" s="26">
        <f t="shared" si="10"/>
        <v>150000</v>
      </c>
      <c r="I324" s="111">
        <f t="shared" si="11"/>
        <v>1.2</v>
      </c>
    </row>
    <row r="325" spans="1:9" ht="23.25" hidden="1" customHeight="1">
      <c r="A325" s="1"/>
      <c r="B325" s="1"/>
      <c r="C325" s="48" t="s">
        <v>25</v>
      </c>
      <c r="D325" s="62" t="s">
        <v>26</v>
      </c>
      <c r="E325" s="77">
        <v>120000</v>
      </c>
      <c r="F325" s="51">
        <v>140000</v>
      </c>
      <c r="G325" s="19"/>
      <c r="H325" s="26">
        <f t="shared" si="10"/>
        <v>20000</v>
      </c>
      <c r="I325" s="111">
        <f t="shared" si="11"/>
        <v>1.1666666666666667</v>
      </c>
    </row>
    <row r="326" spans="1:9" ht="23.25" hidden="1" customHeight="1">
      <c r="A326" s="1"/>
      <c r="B326" s="1"/>
      <c r="C326" s="48" t="s">
        <v>27</v>
      </c>
      <c r="D326" s="62" t="s">
        <v>28</v>
      </c>
      <c r="E326" s="77">
        <v>300000</v>
      </c>
      <c r="F326" s="51">
        <v>350000</v>
      </c>
      <c r="G326" s="19"/>
      <c r="H326" s="26">
        <f t="shared" si="10"/>
        <v>50000</v>
      </c>
      <c r="I326" s="111">
        <f t="shared" si="11"/>
        <v>1.1666666666666667</v>
      </c>
    </row>
    <row r="327" spans="1:9" ht="23.25" hidden="1" customHeight="1">
      <c r="A327" s="1"/>
      <c r="B327" s="1"/>
      <c r="C327" s="48" t="s">
        <v>29</v>
      </c>
      <c r="D327" s="62" t="s">
        <v>30</v>
      </c>
      <c r="E327" s="50"/>
      <c r="F327" s="51">
        <v>0</v>
      </c>
      <c r="G327" s="19"/>
      <c r="H327" s="26">
        <f t="shared" si="10"/>
        <v>0</v>
      </c>
      <c r="I327" s="111"/>
    </row>
    <row r="328" spans="1:9" ht="23.25" hidden="1" customHeight="1">
      <c r="A328" s="1"/>
      <c r="B328" s="1"/>
      <c r="C328" s="48" t="s">
        <v>31</v>
      </c>
      <c r="D328" s="62" t="s">
        <v>32</v>
      </c>
      <c r="E328" s="77">
        <v>40000</v>
      </c>
      <c r="F328" s="51">
        <v>50000</v>
      </c>
      <c r="G328" s="19"/>
      <c r="H328" s="26">
        <f t="shared" si="10"/>
        <v>10000</v>
      </c>
      <c r="I328" s="111">
        <f t="shared" si="11"/>
        <v>1.25</v>
      </c>
    </row>
    <row r="329" spans="1:9" ht="23.25" hidden="1" customHeight="1">
      <c r="A329" s="1"/>
      <c r="B329" s="1"/>
      <c r="C329" s="48" t="s">
        <v>33</v>
      </c>
      <c r="D329" s="62" t="s">
        <v>34</v>
      </c>
      <c r="E329" s="77">
        <v>30000</v>
      </c>
      <c r="F329" s="51">
        <v>30000</v>
      </c>
      <c r="G329" s="19"/>
      <c r="H329" s="26">
        <f t="shared" si="10"/>
        <v>0</v>
      </c>
      <c r="I329" s="111">
        <f t="shared" si="11"/>
        <v>1</v>
      </c>
    </row>
    <row r="330" spans="1:9" ht="23.25" hidden="1" customHeight="1">
      <c r="A330" s="1"/>
      <c r="B330" s="1"/>
      <c r="C330" s="48">
        <v>3110</v>
      </c>
      <c r="D330" s="62" t="s">
        <v>37</v>
      </c>
      <c r="E330" s="77"/>
      <c r="F330" s="51">
        <v>60000</v>
      </c>
      <c r="G330" s="19"/>
      <c r="H330" s="26">
        <f t="shared" ref="H330:H393" si="12">F330-E330</f>
        <v>60000</v>
      </c>
      <c r="I330" s="111"/>
    </row>
    <row r="331" spans="1:9" ht="27.75" hidden="1" customHeight="1">
      <c r="A331" s="1"/>
      <c r="B331" s="1"/>
      <c r="C331" s="44" t="s">
        <v>121</v>
      </c>
      <c r="D331" s="45" t="s">
        <v>127</v>
      </c>
      <c r="E331" s="50"/>
      <c r="F331" s="47">
        <f>F332+F333+F334+F335+F336+F337+F338+F339+F340+F341+F342+F343+F344+F345</f>
        <v>10839773</v>
      </c>
      <c r="G331" s="19"/>
      <c r="H331" s="18">
        <f t="shared" si="12"/>
        <v>10839773</v>
      </c>
      <c r="I331" s="111"/>
    </row>
    <row r="332" spans="1:9" ht="23.25" hidden="1" customHeight="1">
      <c r="A332" s="1"/>
      <c r="B332" s="1"/>
      <c r="C332" s="48">
        <v>2111</v>
      </c>
      <c r="D332" s="62" t="s">
        <v>14</v>
      </c>
      <c r="E332" s="78">
        <v>14860000</v>
      </c>
      <c r="F332" s="74">
        <f>18832514-11327011-G332</f>
        <v>6354896</v>
      </c>
      <c r="G332" s="19">
        <v>1150607</v>
      </c>
      <c r="H332" s="26">
        <f t="shared" si="12"/>
        <v>-8505104</v>
      </c>
      <c r="I332" s="111">
        <f t="shared" ref="I332:I391" si="13">F332/E332</f>
        <v>0.42765114401076715</v>
      </c>
    </row>
    <row r="333" spans="1:9" ht="23.25" hidden="1" customHeight="1">
      <c r="A333" s="1"/>
      <c r="B333" s="1"/>
      <c r="C333" s="48">
        <v>2120</v>
      </c>
      <c r="D333" s="62" t="s">
        <v>16</v>
      </c>
      <c r="E333" s="78">
        <v>3269300</v>
      </c>
      <c r="F333" s="74">
        <f>4143153-2491942-G333</f>
        <v>1398077</v>
      </c>
      <c r="G333" s="19">
        <v>253134</v>
      </c>
      <c r="H333" s="26">
        <f t="shared" si="12"/>
        <v>-1871223</v>
      </c>
      <c r="I333" s="111">
        <f t="shared" si="13"/>
        <v>0.4276380264888508</v>
      </c>
    </row>
    <row r="334" spans="1:9" ht="23.25" hidden="1" customHeight="1">
      <c r="A334" s="1"/>
      <c r="B334" s="1"/>
      <c r="C334" s="48" t="s">
        <v>17</v>
      </c>
      <c r="D334" s="62" t="s">
        <v>18</v>
      </c>
      <c r="E334" s="78">
        <v>2850000</v>
      </c>
      <c r="F334" s="51">
        <v>350000</v>
      </c>
      <c r="G334" s="19"/>
      <c r="H334" s="26">
        <f t="shared" si="12"/>
        <v>-2500000</v>
      </c>
      <c r="I334" s="111">
        <f t="shared" si="13"/>
        <v>0.12280701754385964</v>
      </c>
    </row>
    <row r="335" spans="1:9" ht="23.25" hidden="1" customHeight="1">
      <c r="A335" s="1"/>
      <c r="B335" s="1"/>
      <c r="C335" s="48" t="s">
        <v>106</v>
      </c>
      <c r="D335" s="62" t="s">
        <v>107</v>
      </c>
      <c r="E335" s="78"/>
      <c r="F335" s="51">
        <v>0</v>
      </c>
      <c r="G335" s="19"/>
      <c r="H335" s="26">
        <f t="shared" si="12"/>
        <v>0</v>
      </c>
      <c r="I335" s="111"/>
    </row>
    <row r="336" spans="1:9" ht="23.25" hidden="1" customHeight="1">
      <c r="A336" s="1"/>
      <c r="B336" s="1"/>
      <c r="C336" s="48" t="s">
        <v>108</v>
      </c>
      <c r="D336" s="62" t="s">
        <v>109</v>
      </c>
      <c r="E336" s="77">
        <v>827000</v>
      </c>
      <c r="F336" s="51">
        <v>1216800</v>
      </c>
      <c r="G336" s="19"/>
      <c r="H336" s="26">
        <f t="shared" si="12"/>
        <v>389800</v>
      </c>
      <c r="I336" s="111">
        <f t="shared" si="13"/>
        <v>1.4713422007255139</v>
      </c>
    </row>
    <row r="337" spans="1:9" ht="23.25" hidden="1" customHeight="1">
      <c r="A337" s="1"/>
      <c r="B337" s="1"/>
      <c r="C337" s="48" t="s">
        <v>19</v>
      </c>
      <c r="D337" s="62" t="s">
        <v>20</v>
      </c>
      <c r="E337" s="78">
        <v>2590000</v>
      </c>
      <c r="F337" s="51">
        <v>300000</v>
      </c>
      <c r="G337" s="19"/>
      <c r="H337" s="26">
        <f t="shared" si="12"/>
        <v>-2290000</v>
      </c>
      <c r="I337" s="111">
        <f t="shared" si="13"/>
        <v>0.11583011583011583</v>
      </c>
    </row>
    <row r="338" spans="1:9" ht="23.25" hidden="1" customHeight="1">
      <c r="A338" s="1"/>
      <c r="B338" s="1"/>
      <c r="C338" s="48" t="s">
        <v>21</v>
      </c>
      <c r="D338" s="62" t="s">
        <v>22</v>
      </c>
      <c r="E338" s="78">
        <v>10000</v>
      </c>
      <c r="F338" s="51">
        <v>10000</v>
      </c>
      <c r="G338" s="19"/>
      <c r="H338" s="26">
        <f t="shared" si="12"/>
        <v>0</v>
      </c>
      <c r="I338" s="111">
        <f t="shared" si="13"/>
        <v>1</v>
      </c>
    </row>
    <row r="339" spans="1:9" ht="23.25" hidden="1" customHeight="1">
      <c r="A339" s="1"/>
      <c r="B339" s="1"/>
      <c r="C339" s="48" t="s">
        <v>23</v>
      </c>
      <c r="D339" s="62" t="s">
        <v>24</v>
      </c>
      <c r="E339" s="50"/>
      <c r="F339" s="51">
        <v>0</v>
      </c>
      <c r="G339" s="19"/>
      <c r="H339" s="26">
        <f t="shared" si="12"/>
        <v>0</v>
      </c>
      <c r="I339" s="111"/>
    </row>
    <row r="340" spans="1:9" ht="23.25" hidden="1" customHeight="1">
      <c r="A340" s="1"/>
      <c r="B340" s="1"/>
      <c r="C340" s="48" t="s">
        <v>25</v>
      </c>
      <c r="D340" s="62" t="s">
        <v>26</v>
      </c>
      <c r="E340" s="77">
        <v>15000</v>
      </c>
      <c r="F340" s="51">
        <v>16500</v>
      </c>
      <c r="G340" s="19"/>
      <c r="H340" s="26">
        <f t="shared" si="12"/>
        <v>1500</v>
      </c>
      <c r="I340" s="111">
        <f t="shared" si="13"/>
        <v>1.1000000000000001</v>
      </c>
    </row>
    <row r="341" spans="1:9" ht="23.25" hidden="1" customHeight="1">
      <c r="A341" s="1"/>
      <c r="B341" s="1"/>
      <c r="C341" s="48" t="s">
        <v>27</v>
      </c>
      <c r="D341" s="62" t="s">
        <v>28</v>
      </c>
      <c r="E341" s="77">
        <v>115000</v>
      </c>
      <c r="F341" s="51">
        <v>126500</v>
      </c>
      <c r="G341" s="19"/>
      <c r="H341" s="26">
        <f t="shared" si="12"/>
        <v>11500</v>
      </c>
      <c r="I341" s="111">
        <f t="shared" si="13"/>
        <v>1.1000000000000001</v>
      </c>
    </row>
    <row r="342" spans="1:9" ht="23.25" hidden="1" customHeight="1">
      <c r="A342" s="1"/>
      <c r="B342" s="1"/>
      <c r="C342" s="48" t="s">
        <v>29</v>
      </c>
      <c r="D342" s="62" t="s">
        <v>30</v>
      </c>
      <c r="E342" s="70"/>
      <c r="F342" s="51">
        <v>0</v>
      </c>
      <c r="G342" s="19"/>
      <c r="H342" s="26">
        <f t="shared" si="12"/>
        <v>0</v>
      </c>
      <c r="I342" s="111"/>
    </row>
    <row r="343" spans="1:9" ht="23.25" hidden="1" customHeight="1">
      <c r="A343" s="1"/>
      <c r="B343" s="1"/>
      <c r="C343" s="48" t="s">
        <v>31</v>
      </c>
      <c r="D343" s="62" t="s">
        <v>32</v>
      </c>
      <c r="E343" s="77">
        <v>880000</v>
      </c>
      <c r="F343" s="51">
        <v>968000</v>
      </c>
      <c r="G343" s="19"/>
      <c r="H343" s="26">
        <f t="shared" si="12"/>
        <v>88000</v>
      </c>
      <c r="I343" s="111">
        <f t="shared" si="13"/>
        <v>1.1000000000000001</v>
      </c>
    </row>
    <row r="344" spans="1:9" ht="27" hidden="1" customHeight="1">
      <c r="A344" s="1"/>
      <c r="B344" s="1"/>
      <c r="C344" s="48" t="s">
        <v>33</v>
      </c>
      <c r="D344" s="62" t="s">
        <v>34</v>
      </c>
      <c r="E344" s="77">
        <v>33000</v>
      </c>
      <c r="F344" s="51">
        <v>39000</v>
      </c>
      <c r="G344" s="19"/>
      <c r="H344" s="26">
        <f t="shared" si="12"/>
        <v>6000</v>
      </c>
      <c r="I344" s="111">
        <f t="shared" si="13"/>
        <v>1.1818181818181819</v>
      </c>
    </row>
    <row r="345" spans="1:9" ht="27" hidden="1" customHeight="1">
      <c r="A345" s="1"/>
      <c r="B345" s="1"/>
      <c r="C345" s="48">
        <v>3110</v>
      </c>
      <c r="D345" s="62" t="s">
        <v>37</v>
      </c>
      <c r="E345" s="77"/>
      <c r="F345" s="51">
        <v>60000</v>
      </c>
      <c r="G345" s="19"/>
      <c r="H345" s="26">
        <f t="shared" si="12"/>
        <v>60000</v>
      </c>
      <c r="I345" s="111"/>
    </row>
    <row r="346" spans="1:9" ht="23.25" hidden="1" customHeight="1">
      <c r="A346" s="1"/>
      <c r="B346" s="1"/>
      <c r="C346" s="44" t="s">
        <v>121</v>
      </c>
      <c r="D346" s="45" t="s">
        <v>128</v>
      </c>
      <c r="E346" s="50"/>
      <c r="F346" s="47">
        <f>F347+F348+F349+F350+F351+F352+F353+F354+F355+F356+F357+F358+F359+F360</f>
        <v>10762745</v>
      </c>
      <c r="G346" s="19"/>
      <c r="H346" s="18">
        <f t="shared" si="12"/>
        <v>10762745</v>
      </c>
      <c r="I346" s="111"/>
    </row>
    <row r="347" spans="1:9" ht="23.25" hidden="1" customHeight="1">
      <c r="A347" s="1"/>
      <c r="B347" s="1"/>
      <c r="C347" s="48">
        <v>2111</v>
      </c>
      <c r="D347" s="62" t="s">
        <v>14</v>
      </c>
      <c r="E347" s="77">
        <v>14688000</v>
      </c>
      <c r="F347" s="74">
        <f>18723577-11494370-G347</f>
        <v>6121168</v>
      </c>
      <c r="G347" s="19">
        <v>1108039</v>
      </c>
      <c r="H347" s="26">
        <f t="shared" si="12"/>
        <v>-8566832</v>
      </c>
      <c r="I347" s="111">
        <f t="shared" si="13"/>
        <v>0.4167461873638344</v>
      </c>
    </row>
    <row r="348" spans="1:9" ht="23.25" hidden="1" customHeight="1">
      <c r="A348" s="1"/>
      <c r="B348" s="1"/>
      <c r="C348" s="48">
        <v>2120</v>
      </c>
      <c r="D348" s="62" t="s">
        <v>16</v>
      </c>
      <c r="E348" s="77">
        <v>3231500</v>
      </c>
      <c r="F348" s="74">
        <f>4119187-2528761-G348</f>
        <v>1346657</v>
      </c>
      <c r="G348" s="19">
        <v>243769</v>
      </c>
      <c r="H348" s="26">
        <f t="shared" si="12"/>
        <v>-1884843</v>
      </c>
      <c r="I348" s="111">
        <f t="shared" si="13"/>
        <v>0.41672814482438497</v>
      </c>
    </row>
    <row r="349" spans="1:9" ht="23.25" hidden="1" customHeight="1">
      <c r="A349" s="1"/>
      <c r="B349" s="1"/>
      <c r="C349" s="48" t="s">
        <v>17</v>
      </c>
      <c r="D349" s="62" t="s">
        <v>18</v>
      </c>
      <c r="E349" s="78">
        <v>2730000</v>
      </c>
      <c r="F349" s="51">
        <v>350000</v>
      </c>
      <c r="G349" s="19"/>
      <c r="H349" s="26">
        <f t="shared" si="12"/>
        <v>-2380000</v>
      </c>
      <c r="I349" s="111">
        <f t="shared" si="13"/>
        <v>0.12820512820512819</v>
      </c>
    </row>
    <row r="350" spans="1:9" ht="23.25" hidden="1" customHeight="1">
      <c r="A350" s="1"/>
      <c r="B350" s="1"/>
      <c r="C350" s="48" t="s">
        <v>106</v>
      </c>
      <c r="D350" s="62" t="s">
        <v>107</v>
      </c>
      <c r="E350" s="78">
        <v>0</v>
      </c>
      <c r="F350" s="51">
        <v>0</v>
      </c>
      <c r="G350" s="19"/>
      <c r="H350" s="26">
        <f t="shared" si="12"/>
        <v>0</v>
      </c>
      <c r="I350" s="111"/>
    </row>
    <row r="351" spans="1:9" ht="23.25" hidden="1" customHeight="1">
      <c r="A351" s="1"/>
      <c r="B351" s="1"/>
      <c r="C351" s="48" t="s">
        <v>108</v>
      </c>
      <c r="D351" s="62" t="s">
        <v>109</v>
      </c>
      <c r="E351" s="77">
        <v>533000</v>
      </c>
      <c r="F351" s="51">
        <v>790920</v>
      </c>
      <c r="G351" s="19"/>
      <c r="H351" s="26">
        <f t="shared" si="12"/>
        <v>257920</v>
      </c>
      <c r="I351" s="111">
        <f t="shared" si="13"/>
        <v>1.4839024390243902</v>
      </c>
    </row>
    <row r="352" spans="1:9" ht="23.25" hidden="1" customHeight="1">
      <c r="A352" s="1"/>
      <c r="B352" s="1"/>
      <c r="C352" s="48" t="s">
        <v>19</v>
      </c>
      <c r="D352" s="62" t="s">
        <v>20</v>
      </c>
      <c r="E352" s="79">
        <v>3560000</v>
      </c>
      <c r="F352" s="51">
        <v>300000</v>
      </c>
      <c r="G352" s="19"/>
      <c r="H352" s="26">
        <f t="shared" si="12"/>
        <v>-3260000</v>
      </c>
      <c r="I352" s="111">
        <f t="shared" si="13"/>
        <v>8.4269662921348312E-2</v>
      </c>
    </row>
    <row r="353" spans="1:9" ht="23.25" hidden="1" customHeight="1">
      <c r="A353" s="1"/>
      <c r="B353" s="1"/>
      <c r="C353" s="48" t="s">
        <v>21</v>
      </c>
      <c r="D353" s="62" t="s">
        <v>22</v>
      </c>
      <c r="E353" s="79">
        <v>10000</v>
      </c>
      <c r="F353" s="51">
        <v>10000</v>
      </c>
      <c r="G353" s="19"/>
      <c r="H353" s="26">
        <f t="shared" si="12"/>
        <v>0</v>
      </c>
      <c r="I353" s="111">
        <f t="shared" si="13"/>
        <v>1</v>
      </c>
    </row>
    <row r="354" spans="1:9" ht="23.25" hidden="1" customHeight="1">
      <c r="A354" s="1"/>
      <c r="B354" s="1"/>
      <c r="C354" s="48" t="s">
        <v>23</v>
      </c>
      <c r="D354" s="62" t="s">
        <v>24</v>
      </c>
      <c r="E354" s="50"/>
      <c r="F354" s="51">
        <v>0</v>
      </c>
      <c r="G354" s="19"/>
      <c r="H354" s="26">
        <f t="shared" si="12"/>
        <v>0</v>
      </c>
      <c r="I354" s="111"/>
    </row>
    <row r="355" spans="1:9" ht="23.25" hidden="1" customHeight="1">
      <c r="A355" s="1"/>
      <c r="B355" s="1"/>
      <c r="C355" s="48" t="s">
        <v>25</v>
      </c>
      <c r="D355" s="62" t="s">
        <v>26</v>
      </c>
      <c r="E355" s="77">
        <v>10000</v>
      </c>
      <c r="F355" s="51">
        <v>11000</v>
      </c>
      <c r="G355" s="19"/>
      <c r="H355" s="26">
        <f t="shared" si="12"/>
        <v>1000</v>
      </c>
      <c r="I355" s="111">
        <f t="shared" si="13"/>
        <v>1.1000000000000001</v>
      </c>
    </row>
    <row r="356" spans="1:9" ht="23.25" hidden="1" customHeight="1">
      <c r="A356" s="1"/>
      <c r="B356" s="1"/>
      <c r="C356" s="48" t="s">
        <v>27</v>
      </c>
      <c r="D356" s="62" t="s">
        <v>28</v>
      </c>
      <c r="E356" s="77">
        <v>125000</v>
      </c>
      <c r="F356" s="51">
        <v>576000</v>
      </c>
      <c r="G356" s="19"/>
      <c r="H356" s="26">
        <f t="shared" si="12"/>
        <v>451000</v>
      </c>
      <c r="I356" s="111">
        <f t="shared" si="13"/>
        <v>4.6079999999999997</v>
      </c>
    </row>
    <row r="357" spans="1:9" ht="23.25" hidden="1" customHeight="1">
      <c r="A357" s="1"/>
      <c r="B357" s="1"/>
      <c r="C357" s="48" t="s">
        <v>29</v>
      </c>
      <c r="D357" s="62" t="s">
        <v>30</v>
      </c>
      <c r="E357" s="50"/>
      <c r="F357" s="51">
        <v>0</v>
      </c>
      <c r="G357" s="19"/>
      <c r="H357" s="26">
        <f t="shared" si="12"/>
        <v>0</v>
      </c>
      <c r="I357" s="111"/>
    </row>
    <row r="358" spans="1:9" ht="23.25" hidden="1" customHeight="1">
      <c r="A358" s="1"/>
      <c r="B358" s="1"/>
      <c r="C358" s="48" t="s">
        <v>31</v>
      </c>
      <c r="D358" s="62" t="s">
        <v>32</v>
      </c>
      <c r="E358" s="77">
        <v>880000</v>
      </c>
      <c r="F358" s="51">
        <v>1138000</v>
      </c>
      <c r="G358" s="19"/>
      <c r="H358" s="26">
        <f t="shared" si="12"/>
        <v>258000</v>
      </c>
      <c r="I358" s="111">
        <f t="shared" si="13"/>
        <v>1.2931818181818182</v>
      </c>
    </row>
    <row r="359" spans="1:9" ht="23.25" hidden="1" customHeight="1">
      <c r="A359" s="1"/>
      <c r="B359" s="1"/>
      <c r="C359" s="48" t="s">
        <v>33</v>
      </c>
      <c r="D359" s="62" t="s">
        <v>34</v>
      </c>
      <c r="E359" s="78">
        <v>28000</v>
      </c>
      <c r="F359" s="51">
        <v>59000</v>
      </c>
      <c r="G359" s="19"/>
      <c r="H359" s="26">
        <f t="shared" si="12"/>
        <v>31000</v>
      </c>
      <c r="I359" s="111">
        <f t="shared" si="13"/>
        <v>2.1071428571428572</v>
      </c>
    </row>
    <row r="360" spans="1:9" ht="23.25" hidden="1" customHeight="1">
      <c r="A360" s="1"/>
      <c r="B360" s="1"/>
      <c r="C360" s="48">
        <v>3110</v>
      </c>
      <c r="D360" s="62" t="s">
        <v>37</v>
      </c>
      <c r="E360" s="77"/>
      <c r="F360" s="51">
        <v>60000</v>
      </c>
      <c r="G360" s="19"/>
      <c r="H360" s="26">
        <f t="shared" si="12"/>
        <v>60000</v>
      </c>
      <c r="I360" s="111"/>
    </row>
    <row r="361" spans="1:9" ht="23.25" hidden="1" customHeight="1">
      <c r="A361" s="1"/>
      <c r="B361" s="1"/>
      <c r="C361" s="44" t="s">
        <v>121</v>
      </c>
      <c r="D361" s="45" t="s">
        <v>129</v>
      </c>
      <c r="E361" s="50"/>
      <c r="F361" s="47">
        <f>F362+F363+F364+F365+F366+F367+F368+F369+F370+F371+F372+F373+F374+F375</f>
        <v>11749509</v>
      </c>
      <c r="G361" s="19"/>
      <c r="H361" s="18">
        <f t="shared" si="12"/>
        <v>11749509</v>
      </c>
      <c r="I361" s="111"/>
    </row>
    <row r="362" spans="1:9" ht="23.25" hidden="1" customHeight="1">
      <c r="A362" s="1"/>
      <c r="B362" s="1"/>
      <c r="C362" s="48">
        <v>2111</v>
      </c>
      <c r="D362" s="62" t="s">
        <v>14</v>
      </c>
      <c r="E362" s="77">
        <v>14569000</v>
      </c>
      <c r="F362" s="74">
        <f>19399283-11825113-G362</f>
        <v>6413179</v>
      </c>
      <c r="G362" s="19">
        <v>1160991</v>
      </c>
      <c r="H362" s="26">
        <f t="shared" si="12"/>
        <v>-8155821</v>
      </c>
      <c r="I362" s="111">
        <f t="shared" si="13"/>
        <v>0.44019349303315258</v>
      </c>
    </row>
    <row r="363" spans="1:9" ht="23.25" hidden="1" customHeight="1">
      <c r="A363" s="1"/>
      <c r="B363" s="1"/>
      <c r="C363" s="48">
        <v>2120</v>
      </c>
      <c r="D363" s="62" t="s">
        <v>16</v>
      </c>
      <c r="E363" s="77">
        <v>3205200</v>
      </c>
      <c r="F363" s="74">
        <f>4267843-2601525-G363</f>
        <v>1410900</v>
      </c>
      <c r="G363" s="19">
        <v>255418</v>
      </c>
      <c r="H363" s="26">
        <f t="shared" si="12"/>
        <v>-1794300</v>
      </c>
      <c r="I363" s="111">
        <f t="shared" si="13"/>
        <v>0.4401909397229502</v>
      </c>
    </row>
    <row r="364" spans="1:9" ht="23.25" hidden="1" customHeight="1">
      <c r="A364" s="1"/>
      <c r="B364" s="1"/>
      <c r="C364" s="48" t="s">
        <v>17</v>
      </c>
      <c r="D364" s="62" t="s">
        <v>18</v>
      </c>
      <c r="E364" s="78">
        <v>2730000</v>
      </c>
      <c r="F364" s="51">
        <v>350000</v>
      </c>
      <c r="G364" s="19"/>
      <c r="H364" s="26">
        <f t="shared" si="12"/>
        <v>-2380000</v>
      </c>
      <c r="I364" s="111">
        <f t="shared" si="13"/>
        <v>0.12820512820512819</v>
      </c>
    </row>
    <row r="365" spans="1:9" ht="23.25" hidden="1" customHeight="1">
      <c r="A365" s="1"/>
      <c r="B365" s="1"/>
      <c r="C365" s="48" t="s">
        <v>106</v>
      </c>
      <c r="D365" s="62" t="s">
        <v>107</v>
      </c>
      <c r="E365" s="78">
        <v>0</v>
      </c>
      <c r="F365" s="51">
        <v>0</v>
      </c>
      <c r="G365" s="19"/>
      <c r="H365" s="26">
        <f t="shared" si="12"/>
        <v>0</v>
      </c>
      <c r="I365" s="111"/>
    </row>
    <row r="366" spans="1:9" ht="23.25" hidden="1" customHeight="1">
      <c r="A366" s="1"/>
      <c r="B366" s="1"/>
      <c r="C366" s="48" t="s">
        <v>108</v>
      </c>
      <c r="D366" s="62" t="s">
        <v>109</v>
      </c>
      <c r="E366" s="77">
        <v>827000</v>
      </c>
      <c r="F366" s="51">
        <v>1262430</v>
      </c>
      <c r="G366" s="19"/>
      <c r="H366" s="26">
        <f t="shared" si="12"/>
        <v>435430</v>
      </c>
      <c r="I366" s="111">
        <f t="shared" si="13"/>
        <v>1.5265175332527208</v>
      </c>
    </row>
    <row r="367" spans="1:9" ht="23.25" hidden="1" customHeight="1">
      <c r="A367" s="1"/>
      <c r="B367" s="1"/>
      <c r="C367" s="48" t="s">
        <v>19</v>
      </c>
      <c r="D367" s="62" t="s">
        <v>20</v>
      </c>
      <c r="E367" s="78">
        <v>2500000</v>
      </c>
      <c r="F367" s="51">
        <v>300000</v>
      </c>
      <c r="G367" s="19"/>
      <c r="H367" s="26">
        <f t="shared" si="12"/>
        <v>-2200000</v>
      </c>
      <c r="I367" s="111">
        <f t="shared" si="13"/>
        <v>0.12</v>
      </c>
    </row>
    <row r="368" spans="1:9" ht="23.25" hidden="1" customHeight="1">
      <c r="A368" s="1"/>
      <c r="B368" s="1"/>
      <c r="C368" s="48" t="s">
        <v>21</v>
      </c>
      <c r="D368" s="62" t="s">
        <v>22</v>
      </c>
      <c r="E368" s="78">
        <v>20000</v>
      </c>
      <c r="F368" s="51">
        <v>20000</v>
      </c>
      <c r="G368" s="19"/>
      <c r="H368" s="26">
        <f t="shared" si="12"/>
        <v>0</v>
      </c>
      <c r="I368" s="111">
        <f t="shared" si="13"/>
        <v>1</v>
      </c>
    </row>
    <row r="369" spans="1:9" ht="23.25" hidden="1" customHeight="1">
      <c r="A369" s="1"/>
      <c r="B369" s="1"/>
      <c r="C369" s="48" t="s">
        <v>23</v>
      </c>
      <c r="D369" s="62" t="s">
        <v>24</v>
      </c>
      <c r="E369" s="50"/>
      <c r="F369" s="51">
        <v>0</v>
      </c>
      <c r="G369" s="19"/>
      <c r="H369" s="26">
        <f t="shared" si="12"/>
        <v>0</v>
      </c>
      <c r="I369" s="111"/>
    </row>
    <row r="370" spans="1:9" ht="23.25" hidden="1" customHeight="1">
      <c r="A370" s="1"/>
      <c r="B370" s="1"/>
      <c r="C370" s="48" t="s">
        <v>25</v>
      </c>
      <c r="D370" s="62" t="s">
        <v>26</v>
      </c>
      <c r="E370" s="77">
        <v>20000</v>
      </c>
      <c r="F370" s="51">
        <v>50000</v>
      </c>
      <c r="G370" s="19"/>
      <c r="H370" s="26">
        <f t="shared" si="12"/>
        <v>30000</v>
      </c>
      <c r="I370" s="111">
        <f t="shared" si="13"/>
        <v>2.5</v>
      </c>
    </row>
    <row r="371" spans="1:9" ht="23.25" hidden="1" customHeight="1">
      <c r="A371" s="1"/>
      <c r="B371" s="1"/>
      <c r="C371" s="48" t="s">
        <v>27</v>
      </c>
      <c r="D371" s="62" t="s">
        <v>28</v>
      </c>
      <c r="E371" s="77">
        <v>265000</v>
      </c>
      <c r="F371" s="51">
        <v>300000</v>
      </c>
      <c r="G371" s="19"/>
      <c r="H371" s="26">
        <f t="shared" si="12"/>
        <v>35000</v>
      </c>
      <c r="I371" s="111">
        <f t="shared" si="13"/>
        <v>1.1320754716981132</v>
      </c>
    </row>
    <row r="372" spans="1:9" ht="23.25" hidden="1" customHeight="1">
      <c r="A372" s="1"/>
      <c r="B372" s="1"/>
      <c r="C372" s="48" t="s">
        <v>29</v>
      </c>
      <c r="D372" s="62" t="s">
        <v>30</v>
      </c>
      <c r="E372" s="77">
        <v>500000</v>
      </c>
      <c r="F372" s="51">
        <v>1500000</v>
      </c>
      <c r="G372" s="19"/>
      <c r="H372" s="26">
        <f t="shared" si="12"/>
        <v>1000000</v>
      </c>
      <c r="I372" s="111">
        <f t="shared" si="13"/>
        <v>3</v>
      </c>
    </row>
    <row r="373" spans="1:9" ht="23.25" hidden="1" customHeight="1">
      <c r="A373" s="1"/>
      <c r="B373" s="1"/>
      <c r="C373" s="48" t="s">
        <v>31</v>
      </c>
      <c r="D373" s="62" t="s">
        <v>32</v>
      </c>
      <c r="E373" s="77">
        <v>30000</v>
      </c>
      <c r="F373" s="51">
        <v>50000</v>
      </c>
      <c r="G373" s="19"/>
      <c r="H373" s="26">
        <f t="shared" si="12"/>
        <v>20000</v>
      </c>
      <c r="I373" s="111">
        <f t="shared" si="13"/>
        <v>1.6666666666666667</v>
      </c>
    </row>
    <row r="374" spans="1:9" ht="23.25" hidden="1" customHeight="1">
      <c r="A374" s="1"/>
      <c r="B374" s="1"/>
      <c r="C374" s="48" t="s">
        <v>33</v>
      </c>
      <c r="D374" s="62" t="s">
        <v>34</v>
      </c>
      <c r="E374" s="77">
        <v>28000</v>
      </c>
      <c r="F374" s="51">
        <v>33000</v>
      </c>
      <c r="G374" s="19"/>
      <c r="H374" s="26">
        <f t="shared" si="12"/>
        <v>5000</v>
      </c>
      <c r="I374" s="111">
        <f t="shared" si="13"/>
        <v>1.1785714285714286</v>
      </c>
    </row>
    <row r="375" spans="1:9" ht="23.25" hidden="1" customHeight="1">
      <c r="A375" s="1"/>
      <c r="B375" s="1"/>
      <c r="C375" s="48">
        <v>3110</v>
      </c>
      <c r="D375" s="62" t="s">
        <v>37</v>
      </c>
      <c r="E375" s="77"/>
      <c r="F375" s="51">
        <v>60000</v>
      </c>
      <c r="G375" s="19"/>
      <c r="H375" s="26">
        <f t="shared" si="12"/>
        <v>60000</v>
      </c>
      <c r="I375" s="111"/>
    </row>
    <row r="376" spans="1:9" ht="23.25" hidden="1" customHeight="1">
      <c r="A376" s="1"/>
      <c r="B376" s="1"/>
      <c r="C376" s="44" t="s">
        <v>121</v>
      </c>
      <c r="D376" s="45" t="s">
        <v>130</v>
      </c>
      <c r="E376" s="50"/>
      <c r="F376" s="47">
        <f>F377+F378+F381+F382+F383+F384+F385+F386+F387+F388+F389+F390+F391+F392-F379-F380</f>
        <v>17796108.769230768</v>
      </c>
      <c r="G376" s="19"/>
      <c r="H376" s="18">
        <f t="shared" si="12"/>
        <v>17796108.769230768</v>
      </c>
      <c r="I376" s="111"/>
    </row>
    <row r="377" spans="1:9" ht="23.25" hidden="1" customHeight="1">
      <c r="A377" s="1"/>
      <c r="B377" s="1"/>
      <c r="C377" s="48">
        <v>2111</v>
      </c>
      <c r="D377" s="62" t="s">
        <v>14</v>
      </c>
      <c r="E377" s="80">
        <v>31216480</v>
      </c>
      <c r="F377" s="74">
        <f>38337998-26783949-G377</f>
        <v>9776503</v>
      </c>
      <c r="G377" s="19">
        <v>1777546</v>
      </c>
      <c r="H377" s="26">
        <f t="shared" si="12"/>
        <v>-21439977</v>
      </c>
      <c r="I377" s="111">
        <f t="shared" si="13"/>
        <v>0.31318402971763631</v>
      </c>
    </row>
    <row r="378" spans="1:9" ht="23.25" hidden="1" customHeight="1">
      <c r="A378" s="1"/>
      <c r="B378" s="1"/>
      <c r="C378" s="48">
        <v>2120</v>
      </c>
      <c r="D378" s="62" t="s">
        <v>16</v>
      </c>
      <c r="E378" s="80">
        <v>6856120</v>
      </c>
      <c r="F378" s="74">
        <f>8434359-5909634-G378</f>
        <v>2136305.769230769</v>
      </c>
      <c r="G378" s="19">
        <v>388419.23076923075</v>
      </c>
      <c r="H378" s="26">
        <f t="shared" si="12"/>
        <v>-4719814.230769231</v>
      </c>
      <c r="I378" s="111">
        <f t="shared" si="13"/>
        <v>0.31159107034748063</v>
      </c>
    </row>
    <row r="379" spans="1:9" ht="23.25" hidden="1" customHeight="1">
      <c r="A379" s="1"/>
      <c r="B379" s="1"/>
      <c r="C379" s="48">
        <v>2111</v>
      </c>
      <c r="D379" s="62" t="s">
        <v>131</v>
      </c>
      <c r="E379" s="80"/>
      <c r="F379" s="74">
        <v>1619826</v>
      </c>
      <c r="G379" s="19"/>
      <c r="H379" s="26">
        <f t="shared" si="12"/>
        <v>1619826</v>
      </c>
      <c r="I379" s="111"/>
    </row>
    <row r="380" spans="1:9" ht="23.25" hidden="1" customHeight="1">
      <c r="A380" s="1"/>
      <c r="B380" s="1"/>
      <c r="C380" s="48">
        <v>2120</v>
      </c>
      <c r="D380" s="62" t="s">
        <v>132</v>
      </c>
      <c r="E380" s="80"/>
      <c r="F380" s="74">
        <v>456874</v>
      </c>
      <c r="G380" s="19"/>
      <c r="H380" s="26">
        <f t="shared" si="12"/>
        <v>456874</v>
      </c>
      <c r="I380" s="111"/>
    </row>
    <row r="381" spans="1:9" ht="23.25" hidden="1" customHeight="1">
      <c r="A381" s="1"/>
      <c r="B381" s="1"/>
      <c r="C381" s="48" t="s">
        <v>17</v>
      </c>
      <c r="D381" s="62" t="s">
        <v>18</v>
      </c>
      <c r="E381" s="80">
        <v>2068240</v>
      </c>
      <c r="F381" s="51">
        <v>350000</v>
      </c>
      <c r="G381" s="19"/>
      <c r="H381" s="26">
        <f t="shared" si="12"/>
        <v>-1718240</v>
      </c>
      <c r="I381" s="111">
        <f t="shared" si="13"/>
        <v>0.16922600858701117</v>
      </c>
    </row>
    <row r="382" spans="1:9" ht="23.25" hidden="1" customHeight="1">
      <c r="A382" s="1"/>
      <c r="B382" s="1"/>
      <c r="C382" s="48" t="s">
        <v>106</v>
      </c>
      <c r="D382" s="62" t="s">
        <v>107</v>
      </c>
      <c r="E382" s="80"/>
      <c r="F382" s="51">
        <v>50000</v>
      </c>
      <c r="G382" s="19"/>
      <c r="H382" s="26">
        <f t="shared" si="12"/>
        <v>50000</v>
      </c>
      <c r="I382" s="111"/>
    </row>
    <row r="383" spans="1:9" ht="23.25" hidden="1" customHeight="1">
      <c r="A383" s="1"/>
      <c r="B383" s="1"/>
      <c r="C383" s="48" t="s">
        <v>108</v>
      </c>
      <c r="D383" s="62" t="s">
        <v>109</v>
      </c>
      <c r="E383" s="80">
        <v>1583300</v>
      </c>
      <c r="F383" s="51">
        <v>3000000</v>
      </c>
      <c r="G383" s="19"/>
      <c r="H383" s="26">
        <f t="shared" si="12"/>
        <v>1416700</v>
      </c>
      <c r="I383" s="111">
        <f t="shared" si="13"/>
        <v>1.8947767321417293</v>
      </c>
    </row>
    <row r="384" spans="1:9" ht="23.25" hidden="1" customHeight="1">
      <c r="A384" s="1"/>
      <c r="B384" s="1"/>
      <c r="C384" s="48" t="s">
        <v>19</v>
      </c>
      <c r="D384" s="62" t="s">
        <v>20</v>
      </c>
      <c r="E384" s="80">
        <v>1507200</v>
      </c>
      <c r="F384" s="51">
        <v>300000</v>
      </c>
      <c r="G384" s="19"/>
      <c r="H384" s="26">
        <f t="shared" si="12"/>
        <v>-1207200</v>
      </c>
      <c r="I384" s="111">
        <f t="shared" si="13"/>
        <v>0.19904458598726116</v>
      </c>
    </row>
    <row r="385" spans="1:9" ht="23.25" hidden="1" customHeight="1">
      <c r="A385" s="1"/>
      <c r="B385" s="1"/>
      <c r="C385" s="48" t="s">
        <v>21</v>
      </c>
      <c r="D385" s="62" t="s">
        <v>22</v>
      </c>
      <c r="E385" s="80">
        <v>30000</v>
      </c>
      <c r="F385" s="51">
        <v>40000</v>
      </c>
      <c r="G385" s="19"/>
      <c r="H385" s="26">
        <f t="shared" si="12"/>
        <v>10000</v>
      </c>
      <c r="I385" s="111">
        <f t="shared" si="13"/>
        <v>1.3333333333333333</v>
      </c>
    </row>
    <row r="386" spans="1:9" ht="23.25" hidden="1" customHeight="1">
      <c r="A386" s="1"/>
      <c r="B386" s="1"/>
      <c r="C386" s="48" t="s">
        <v>23</v>
      </c>
      <c r="D386" s="62" t="s">
        <v>24</v>
      </c>
      <c r="E386" s="50"/>
      <c r="F386" s="51">
        <v>2600000</v>
      </c>
      <c r="G386" s="19"/>
      <c r="H386" s="26">
        <f t="shared" si="12"/>
        <v>2600000</v>
      </c>
      <c r="I386" s="111"/>
    </row>
    <row r="387" spans="1:9" ht="23.25" hidden="1" customHeight="1">
      <c r="A387" s="1"/>
      <c r="B387" s="1"/>
      <c r="C387" s="48" t="s">
        <v>25</v>
      </c>
      <c r="D387" s="62" t="s">
        <v>26</v>
      </c>
      <c r="E387" s="80">
        <v>132000</v>
      </c>
      <c r="F387" s="51">
        <v>170000</v>
      </c>
      <c r="G387" s="19"/>
      <c r="H387" s="26">
        <f t="shared" si="12"/>
        <v>38000</v>
      </c>
      <c r="I387" s="111">
        <f t="shared" si="13"/>
        <v>1.2878787878787878</v>
      </c>
    </row>
    <row r="388" spans="1:9" ht="23.25" hidden="1" customHeight="1">
      <c r="A388" s="1"/>
      <c r="B388" s="1"/>
      <c r="C388" s="48" t="s">
        <v>27</v>
      </c>
      <c r="D388" s="62" t="s">
        <v>28</v>
      </c>
      <c r="E388" s="80">
        <v>800000</v>
      </c>
      <c r="F388" s="51">
        <v>1300000</v>
      </c>
      <c r="G388" s="19"/>
      <c r="H388" s="26">
        <f t="shared" si="12"/>
        <v>500000</v>
      </c>
      <c r="I388" s="111">
        <f t="shared" si="13"/>
        <v>1.625</v>
      </c>
    </row>
    <row r="389" spans="1:9" ht="23.25" hidden="1" customHeight="1">
      <c r="A389" s="1"/>
      <c r="B389" s="1"/>
      <c r="C389" s="48" t="s">
        <v>29</v>
      </c>
      <c r="D389" s="62" t="s">
        <v>30</v>
      </c>
      <c r="E389" s="80"/>
      <c r="F389" s="51">
        <v>0</v>
      </c>
      <c r="G389" s="19"/>
      <c r="H389" s="26">
        <f t="shared" si="12"/>
        <v>0</v>
      </c>
      <c r="I389" s="111"/>
    </row>
    <row r="390" spans="1:9" ht="23.25" hidden="1" customHeight="1">
      <c r="A390" s="1"/>
      <c r="B390" s="1"/>
      <c r="C390" s="48" t="s">
        <v>31</v>
      </c>
      <c r="D390" s="62" t="s">
        <v>32</v>
      </c>
      <c r="E390" s="80">
        <v>35000</v>
      </c>
      <c r="F390" s="51">
        <v>100000</v>
      </c>
      <c r="G390" s="19"/>
      <c r="H390" s="26">
        <f t="shared" si="12"/>
        <v>65000</v>
      </c>
      <c r="I390" s="111">
        <f t="shared" si="13"/>
        <v>2.8571428571428572</v>
      </c>
    </row>
    <row r="391" spans="1:9" ht="23.25" hidden="1" customHeight="1">
      <c r="A391" s="1"/>
      <c r="B391" s="1"/>
      <c r="C391" s="48" t="s">
        <v>33</v>
      </c>
      <c r="D391" s="62" t="s">
        <v>34</v>
      </c>
      <c r="E391" s="80">
        <v>40000</v>
      </c>
      <c r="F391" s="51">
        <v>40000</v>
      </c>
      <c r="G391" s="19"/>
      <c r="H391" s="26">
        <f t="shared" si="12"/>
        <v>0</v>
      </c>
      <c r="I391" s="111">
        <f t="shared" si="13"/>
        <v>1</v>
      </c>
    </row>
    <row r="392" spans="1:9" ht="15" hidden="1" customHeight="1">
      <c r="A392" s="1"/>
      <c r="B392" s="1"/>
      <c r="C392" s="48" t="s">
        <v>35</v>
      </c>
      <c r="D392" s="62" t="s">
        <v>36</v>
      </c>
      <c r="E392" s="50"/>
      <c r="F392" s="51">
        <v>10000</v>
      </c>
      <c r="G392" s="19"/>
      <c r="H392" s="26">
        <f t="shared" si="12"/>
        <v>10000</v>
      </c>
      <c r="I392" s="111"/>
    </row>
    <row r="393" spans="1:9" ht="24.75" hidden="1" customHeight="1">
      <c r="A393" s="1"/>
      <c r="B393" s="1"/>
      <c r="C393" s="44" t="s">
        <v>121</v>
      </c>
      <c r="D393" s="45" t="s">
        <v>133</v>
      </c>
      <c r="E393" s="50"/>
      <c r="F393" s="47">
        <f>F394+F395+F396+F397+F398+F399+F400+F401+F402+F403+F404+F405+F406+F407</f>
        <v>12207964</v>
      </c>
      <c r="G393" s="19"/>
      <c r="H393" s="26">
        <f t="shared" si="12"/>
        <v>12207964</v>
      </c>
      <c r="I393" s="111"/>
    </row>
    <row r="394" spans="1:9" ht="23.25" hidden="1" customHeight="1">
      <c r="A394" s="1"/>
      <c r="B394" s="1"/>
      <c r="C394" s="48">
        <v>2111</v>
      </c>
      <c r="D394" s="62" t="s">
        <v>14</v>
      </c>
      <c r="E394" s="77">
        <v>7068000</v>
      </c>
      <c r="F394" s="74">
        <f>17779963-9518109-G394</f>
        <v>6994233</v>
      </c>
      <c r="G394" s="19">
        <v>1267621</v>
      </c>
      <c r="H394" s="26">
        <f t="shared" ref="H394:H457" si="14">F394-E394</f>
        <v>-73767</v>
      </c>
      <c r="I394" s="111">
        <f t="shared" ref="I394:I457" si="15">F394/E394</f>
        <v>0.98956324278438035</v>
      </c>
    </row>
    <row r="395" spans="1:9" ht="23.25" hidden="1" customHeight="1">
      <c r="A395" s="1"/>
      <c r="B395" s="1"/>
      <c r="C395" s="48">
        <v>2120</v>
      </c>
      <c r="D395" s="62" t="s">
        <v>16</v>
      </c>
      <c r="E395" s="77">
        <v>1555000</v>
      </c>
      <c r="F395" s="74">
        <f>3911592-2093984-G395</f>
        <v>1538731</v>
      </c>
      <c r="G395" s="19">
        <v>278877</v>
      </c>
      <c r="H395" s="26">
        <f t="shared" si="14"/>
        <v>-16269</v>
      </c>
      <c r="I395" s="111">
        <f t="shared" si="15"/>
        <v>0.98953762057877814</v>
      </c>
    </row>
    <row r="396" spans="1:9" ht="23.25" hidden="1" customHeight="1">
      <c r="A396" s="1"/>
      <c r="B396" s="1"/>
      <c r="C396" s="48" t="s">
        <v>17</v>
      </c>
      <c r="D396" s="62" t="s">
        <v>18</v>
      </c>
      <c r="E396" s="77">
        <v>1750000</v>
      </c>
      <c r="F396" s="51">
        <v>450000</v>
      </c>
      <c r="G396" s="19"/>
      <c r="H396" s="26">
        <f t="shared" si="14"/>
        <v>-1300000</v>
      </c>
      <c r="I396" s="111">
        <f t="shared" si="15"/>
        <v>0.25714285714285712</v>
      </c>
    </row>
    <row r="397" spans="1:9" ht="23.25" hidden="1" customHeight="1">
      <c r="A397" s="1"/>
      <c r="B397" s="1"/>
      <c r="C397" s="48" t="s">
        <v>106</v>
      </c>
      <c r="D397" s="62" t="s">
        <v>107</v>
      </c>
      <c r="E397" s="77"/>
      <c r="F397" s="51">
        <v>0</v>
      </c>
      <c r="G397" s="19"/>
      <c r="H397" s="26">
        <f t="shared" si="14"/>
        <v>0</v>
      </c>
      <c r="I397" s="111"/>
    </row>
    <row r="398" spans="1:9" ht="23.25" hidden="1" customHeight="1">
      <c r="A398" s="1"/>
      <c r="B398" s="1"/>
      <c r="C398" s="48" t="s">
        <v>108</v>
      </c>
      <c r="D398" s="62" t="s">
        <v>109</v>
      </c>
      <c r="E398" s="77">
        <v>332000</v>
      </c>
      <c r="F398" s="51">
        <v>790000</v>
      </c>
      <c r="G398" s="19"/>
      <c r="H398" s="26">
        <f t="shared" si="14"/>
        <v>458000</v>
      </c>
      <c r="I398" s="111">
        <f t="shared" si="15"/>
        <v>2.3795180722891565</v>
      </c>
    </row>
    <row r="399" spans="1:9" ht="23.25" hidden="1" customHeight="1">
      <c r="A399" s="1"/>
      <c r="B399" s="1"/>
      <c r="C399" s="48" t="s">
        <v>19</v>
      </c>
      <c r="D399" s="62" t="s">
        <v>20</v>
      </c>
      <c r="E399" s="77">
        <v>2340000</v>
      </c>
      <c r="F399" s="51">
        <v>400000</v>
      </c>
      <c r="G399" s="19"/>
      <c r="H399" s="26">
        <f t="shared" si="14"/>
        <v>-1940000</v>
      </c>
      <c r="I399" s="111">
        <f t="shared" si="15"/>
        <v>0.17094017094017094</v>
      </c>
    </row>
    <row r="400" spans="1:9" ht="23.25" hidden="1" customHeight="1">
      <c r="A400" s="1"/>
      <c r="B400" s="1"/>
      <c r="C400" s="48" t="s">
        <v>21</v>
      </c>
      <c r="D400" s="62" t="s">
        <v>22</v>
      </c>
      <c r="E400" s="77">
        <v>10000</v>
      </c>
      <c r="F400" s="51">
        <v>30000</v>
      </c>
      <c r="G400" s="19"/>
      <c r="H400" s="26">
        <f t="shared" si="14"/>
        <v>20000</v>
      </c>
      <c r="I400" s="111">
        <f t="shared" si="15"/>
        <v>3</v>
      </c>
    </row>
    <row r="401" spans="1:9" ht="23.25" hidden="1" customHeight="1">
      <c r="A401" s="1"/>
      <c r="B401" s="1"/>
      <c r="C401" s="48" t="s">
        <v>23</v>
      </c>
      <c r="D401" s="62" t="s">
        <v>24</v>
      </c>
      <c r="E401" s="77">
        <v>800000</v>
      </c>
      <c r="F401" s="51">
        <v>1500000</v>
      </c>
      <c r="G401" s="19"/>
      <c r="H401" s="26">
        <f t="shared" si="14"/>
        <v>700000</v>
      </c>
      <c r="I401" s="111">
        <f t="shared" si="15"/>
        <v>1.875</v>
      </c>
    </row>
    <row r="402" spans="1:9" ht="23.25" hidden="1" customHeight="1">
      <c r="A402" s="1"/>
      <c r="B402" s="1"/>
      <c r="C402" s="48" t="s">
        <v>25</v>
      </c>
      <c r="D402" s="62" t="s">
        <v>26</v>
      </c>
      <c r="E402" s="77">
        <v>15000</v>
      </c>
      <c r="F402" s="51">
        <v>40000</v>
      </c>
      <c r="G402" s="19"/>
      <c r="H402" s="26">
        <f t="shared" si="14"/>
        <v>25000</v>
      </c>
      <c r="I402" s="111">
        <f t="shared" si="15"/>
        <v>2.6666666666666665</v>
      </c>
    </row>
    <row r="403" spans="1:9" ht="23.25" hidden="1" customHeight="1">
      <c r="A403" s="1"/>
      <c r="B403" s="1"/>
      <c r="C403" s="48" t="s">
        <v>27</v>
      </c>
      <c r="D403" s="62" t="s">
        <v>28</v>
      </c>
      <c r="E403" s="77">
        <v>110000</v>
      </c>
      <c r="F403" s="51">
        <v>300000</v>
      </c>
      <c r="G403" s="19"/>
      <c r="H403" s="26">
        <f t="shared" si="14"/>
        <v>190000</v>
      </c>
      <c r="I403" s="111">
        <f t="shared" si="15"/>
        <v>2.7272727272727271</v>
      </c>
    </row>
    <row r="404" spans="1:9" ht="23.25" hidden="1" customHeight="1">
      <c r="A404" s="1"/>
      <c r="B404" s="1"/>
      <c r="C404" s="48" t="s">
        <v>29</v>
      </c>
      <c r="D404" s="62" t="s">
        <v>30</v>
      </c>
      <c r="E404" s="50"/>
      <c r="F404" s="51">
        <v>0</v>
      </c>
      <c r="G404" s="19"/>
      <c r="H404" s="26">
        <f t="shared" si="14"/>
        <v>0</v>
      </c>
      <c r="I404" s="111"/>
    </row>
    <row r="405" spans="1:9" ht="23.25" hidden="1" customHeight="1">
      <c r="A405" s="1"/>
      <c r="B405" s="1"/>
      <c r="C405" s="48" t="s">
        <v>31</v>
      </c>
      <c r="D405" s="62" t="s">
        <v>32</v>
      </c>
      <c r="E405" s="77">
        <v>10000</v>
      </c>
      <c r="F405" s="51">
        <v>50000</v>
      </c>
      <c r="G405" s="19"/>
      <c r="H405" s="26">
        <f t="shared" si="14"/>
        <v>40000</v>
      </c>
      <c r="I405" s="111">
        <f t="shared" si="15"/>
        <v>5</v>
      </c>
    </row>
    <row r="406" spans="1:9" ht="23.25" hidden="1" customHeight="1">
      <c r="A406" s="1"/>
      <c r="B406" s="1"/>
      <c r="C406" s="48" t="s">
        <v>33</v>
      </c>
      <c r="D406" s="62" t="s">
        <v>34</v>
      </c>
      <c r="E406" s="77">
        <v>23000</v>
      </c>
      <c r="F406" s="51">
        <v>55000</v>
      </c>
      <c r="G406" s="19"/>
      <c r="H406" s="26">
        <f t="shared" si="14"/>
        <v>32000</v>
      </c>
      <c r="I406" s="111">
        <f t="shared" si="15"/>
        <v>2.3913043478260869</v>
      </c>
    </row>
    <row r="407" spans="1:9" ht="23.25" hidden="1" customHeight="1">
      <c r="A407" s="1"/>
      <c r="B407" s="1"/>
      <c r="C407" s="48">
        <v>3110</v>
      </c>
      <c r="D407" s="62" t="s">
        <v>37</v>
      </c>
      <c r="E407" s="77"/>
      <c r="F407" s="51">
        <v>60000</v>
      </c>
      <c r="G407" s="19"/>
      <c r="H407" s="26">
        <f t="shared" si="14"/>
        <v>60000</v>
      </c>
      <c r="I407" s="111"/>
    </row>
    <row r="408" spans="1:9" ht="23.25" hidden="1" customHeight="1">
      <c r="A408" s="1"/>
      <c r="B408" s="1"/>
      <c r="C408" s="44" t="s">
        <v>121</v>
      </c>
      <c r="D408" s="45" t="s">
        <v>134</v>
      </c>
      <c r="E408" s="50"/>
      <c r="F408" s="47">
        <f>F409+F410+F411+F412+F413+F414+F415+F416+F417+F418+F419+F420+F421+F422</f>
        <v>6229637</v>
      </c>
      <c r="G408" s="19"/>
      <c r="H408" s="18">
        <f t="shared" si="14"/>
        <v>6229637</v>
      </c>
      <c r="I408" s="111"/>
    </row>
    <row r="409" spans="1:9" ht="23.25" hidden="1" customHeight="1">
      <c r="A409" s="1"/>
      <c r="B409" s="1"/>
      <c r="C409" s="48">
        <v>2111</v>
      </c>
      <c r="D409" s="62" t="s">
        <v>14</v>
      </c>
      <c r="E409" s="77">
        <v>5865000</v>
      </c>
      <c r="F409" s="74">
        <f>7846098-4003080-G409</f>
        <v>3253228</v>
      </c>
      <c r="G409" s="19">
        <v>589790</v>
      </c>
      <c r="H409" s="26">
        <f t="shared" si="14"/>
        <v>-2611772</v>
      </c>
      <c r="I409" s="111">
        <f t="shared" si="15"/>
        <v>0.55468508098891733</v>
      </c>
    </row>
    <row r="410" spans="1:9" ht="23.25" hidden="1" customHeight="1">
      <c r="A410" s="1"/>
      <c r="B410" s="1"/>
      <c r="C410" s="48">
        <v>2120</v>
      </c>
      <c r="D410" s="62" t="s">
        <v>16</v>
      </c>
      <c r="E410" s="77">
        <v>1290400</v>
      </c>
      <c r="F410" s="74">
        <f>1726141-880678-G410</f>
        <v>715709</v>
      </c>
      <c r="G410" s="19">
        <v>129754</v>
      </c>
      <c r="H410" s="26">
        <f t="shared" si="14"/>
        <v>-574691</v>
      </c>
      <c r="I410" s="111">
        <f t="shared" si="15"/>
        <v>0.55464119652820831</v>
      </c>
    </row>
    <row r="411" spans="1:9" ht="23.25" hidden="1" customHeight="1">
      <c r="A411" s="1"/>
      <c r="B411" s="1"/>
      <c r="C411" s="48" t="s">
        <v>17</v>
      </c>
      <c r="D411" s="62" t="s">
        <v>18</v>
      </c>
      <c r="E411" s="77">
        <v>600000</v>
      </c>
      <c r="F411" s="51">
        <v>350000</v>
      </c>
      <c r="G411" s="19"/>
      <c r="H411" s="26">
        <f t="shared" si="14"/>
        <v>-250000</v>
      </c>
      <c r="I411" s="111">
        <f t="shared" si="15"/>
        <v>0.58333333333333337</v>
      </c>
    </row>
    <row r="412" spans="1:9" ht="23.25" hidden="1" customHeight="1">
      <c r="A412" s="1"/>
      <c r="B412" s="1"/>
      <c r="C412" s="48" t="s">
        <v>106</v>
      </c>
      <c r="D412" s="62" t="s">
        <v>107</v>
      </c>
      <c r="E412" s="77"/>
      <c r="F412" s="51">
        <v>0</v>
      </c>
      <c r="G412" s="19"/>
      <c r="H412" s="26">
        <f t="shared" si="14"/>
        <v>0</v>
      </c>
      <c r="I412" s="111" t="e">
        <f t="shared" si="15"/>
        <v>#DIV/0!</v>
      </c>
    </row>
    <row r="413" spans="1:9" ht="23.25" hidden="1" customHeight="1">
      <c r="A413" s="1"/>
      <c r="B413" s="1"/>
      <c r="C413" s="48" t="s">
        <v>108</v>
      </c>
      <c r="D413" s="62" t="s">
        <v>109</v>
      </c>
      <c r="E413" s="77">
        <v>215000</v>
      </c>
      <c r="F413" s="51">
        <v>337700</v>
      </c>
      <c r="G413" s="19"/>
      <c r="H413" s="26">
        <f t="shared" si="14"/>
        <v>122700</v>
      </c>
      <c r="I413" s="111">
        <f t="shared" si="15"/>
        <v>1.5706976744186048</v>
      </c>
    </row>
    <row r="414" spans="1:9" ht="23.25" hidden="1" customHeight="1">
      <c r="A414" s="1"/>
      <c r="B414" s="1"/>
      <c r="C414" s="48" t="s">
        <v>19</v>
      </c>
      <c r="D414" s="62" t="s">
        <v>20</v>
      </c>
      <c r="E414" s="77">
        <v>390000</v>
      </c>
      <c r="F414" s="51">
        <v>250000</v>
      </c>
      <c r="G414" s="19"/>
      <c r="H414" s="26">
        <f t="shared" si="14"/>
        <v>-140000</v>
      </c>
      <c r="I414" s="111">
        <f t="shared" si="15"/>
        <v>0.64102564102564108</v>
      </c>
    </row>
    <row r="415" spans="1:9" ht="23.25" hidden="1" customHeight="1">
      <c r="A415" s="1"/>
      <c r="B415" s="1"/>
      <c r="C415" s="48" t="s">
        <v>21</v>
      </c>
      <c r="D415" s="62" t="s">
        <v>22</v>
      </c>
      <c r="E415" s="77">
        <v>5000</v>
      </c>
      <c r="F415" s="51">
        <v>5000</v>
      </c>
      <c r="G415" s="19"/>
      <c r="H415" s="26">
        <f t="shared" si="14"/>
        <v>0</v>
      </c>
      <c r="I415" s="111">
        <f t="shared" si="15"/>
        <v>1</v>
      </c>
    </row>
    <row r="416" spans="1:9" ht="23.25" hidden="1" customHeight="1">
      <c r="A416" s="1"/>
      <c r="B416" s="1"/>
      <c r="C416" s="48" t="s">
        <v>23</v>
      </c>
      <c r="D416" s="62" t="s">
        <v>24</v>
      </c>
      <c r="E416" s="77"/>
      <c r="F416" s="51">
        <v>0</v>
      </c>
      <c r="G416" s="19"/>
      <c r="H416" s="26">
        <f t="shared" si="14"/>
        <v>0</v>
      </c>
      <c r="I416" s="111"/>
    </row>
    <row r="417" spans="1:9" ht="23.25" hidden="1" customHeight="1">
      <c r="A417" s="1"/>
      <c r="B417" s="1"/>
      <c r="C417" s="48" t="s">
        <v>25</v>
      </c>
      <c r="D417" s="62" t="s">
        <v>26</v>
      </c>
      <c r="E417" s="77"/>
      <c r="F417" s="51">
        <v>0</v>
      </c>
      <c r="G417" s="19"/>
      <c r="H417" s="26">
        <f t="shared" si="14"/>
        <v>0</v>
      </c>
      <c r="I417" s="111"/>
    </row>
    <row r="418" spans="1:9" ht="23.25" hidden="1" customHeight="1">
      <c r="A418" s="1"/>
      <c r="B418" s="1"/>
      <c r="C418" s="48" t="s">
        <v>27</v>
      </c>
      <c r="D418" s="62" t="s">
        <v>28</v>
      </c>
      <c r="E418" s="77">
        <v>75000</v>
      </c>
      <c r="F418" s="51">
        <v>135000</v>
      </c>
      <c r="G418" s="19"/>
      <c r="H418" s="26">
        <f t="shared" si="14"/>
        <v>60000</v>
      </c>
      <c r="I418" s="111">
        <f t="shared" si="15"/>
        <v>1.8</v>
      </c>
    </row>
    <row r="419" spans="1:9" ht="23.25" hidden="1" customHeight="1">
      <c r="A419" s="1"/>
      <c r="B419" s="1"/>
      <c r="C419" s="48" t="s">
        <v>29</v>
      </c>
      <c r="D419" s="62" t="s">
        <v>30</v>
      </c>
      <c r="E419" s="77"/>
      <c r="F419" s="51">
        <v>0</v>
      </c>
      <c r="G419" s="19"/>
      <c r="H419" s="26">
        <f t="shared" si="14"/>
        <v>0</v>
      </c>
      <c r="I419" s="111"/>
    </row>
    <row r="420" spans="1:9" ht="23.25" hidden="1" customHeight="1">
      <c r="A420" s="1"/>
      <c r="B420" s="1"/>
      <c r="C420" s="48" t="s">
        <v>31</v>
      </c>
      <c r="D420" s="62" t="s">
        <v>32</v>
      </c>
      <c r="E420" s="77">
        <v>900000</v>
      </c>
      <c r="F420" s="51">
        <v>1110000</v>
      </c>
      <c r="G420" s="19"/>
      <c r="H420" s="26">
        <f t="shared" si="14"/>
        <v>210000</v>
      </c>
      <c r="I420" s="111">
        <f t="shared" si="15"/>
        <v>1.2333333333333334</v>
      </c>
    </row>
    <row r="421" spans="1:9" ht="23.25" hidden="1" customHeight="1">
      <c r="A421" s="1"/>
      <c r="B421" s="1"/>
      <c r="C421" s="48" t="s">
        <v>33</v>
      </c>
      <c r="D421" s="62" t="s">
        <v>34</v>
      </c>
      <c r="E421" s="77">
        <v>13000</v>
      </c>
      <c r="F421" s="51">
        <v>13000</v>
      </c>
      <c r="G421" s="19"/>
      <c r="H421" s="26">
        <f t="shared" si="14"/>
        <v>0</v>
      </c>
      <c r="I421" s="111">
        <f t="shared" si="15"/>
        <v>1</v>
      </c>
    </row>
    <row r="422" spans="1:9" ht="23.25" hidden="1" customHeight="1">
      <c r="A422" s="1"/>
      <c r="B422" s="1"/>
      <c r="C422" s="48">
        <v>3110</v>
      </c>
      <c r="D422" s="62" t="s">
        <v>37</v>
      </c>
      <c r="E422" s="77"/>
      <c r="F422" s="51">
        <v>60000</v>
      </c>
      <c r="G422" s="19"/>
      <c r="H422" s="26">
        <f t="shared" si="14"/>
        <v>60000</v>
      </c>
      <c r="I422" s="111"/>
    </row>
    <row r="423" spans="1:9" ht="15" hidden="1" customHeight="1">
      <c r="A423" s="1"/>
      <c r="B423" s="1"/>
      <c r="C423" s="44" t="s">
        <v>121</v>
      </c>
      <c r="D423" s="45" t="s">
        <v>135</v>
      </c>
      <c r="E423" s="50"/>
      <c r="F423" s="47">
        <f>F424+F425+F426+F427+F428+F429+F430+F431+F432+F433+F434+F435+F436+F437</f>
        <v>10892455.015384614</v>
      </c>
      <c r="G423" s="19"/>
      <c r="H423" s="18">
        <f t="shared" si="14"/>
        <v>10892455.015384614</v>
      </c>
      <c r="I423" s="111"/>
    </row>
    <row r="424" spans="1:9" ht="15" hidden="1" customHeight="1">
      <c r="A424" s="1"/>
      <c r="B424" s="1"/>
      <c r="C424" s="48">
        <v>2111</v>
      </c>
      <c r="D424" s="62" t="s">
        <v>14</v>
      </c>
      <c r="E424" s="77">
        <v>14817000</v>
      </c>
      <c r="F424" s="74">
        <f>19449777-12232118-G424</f>
        <v>5996209.0153846154</v>
      </c>
      <c r="G424" s="19">
        <v>1221449.9846153848</v>
      </c>
      <c r="H424" s="26">
        <f t="shared" si="14"/>
        <v>-8820790.9846153855</v>
      </c>
      <c r="I424" s="111">
        <f t="shared" si="15"/>
        <v>0.40468441758686746</v>
      </c>
    </row>
    <row r="425" spans="1:9" ht="15.75" hidden="1" customHeight="1">
      <c r="A425" s="1"/>
      <c r="B425" s="1"/>
      <c r="C425" s="48">
        <v>2120</v>
      </c>
      <c r="D425" s="62" t="s">
        <v>16</v>
      </c>
      <c r="E425" s="77">
        <v>3259900</v>
      </c>
      <c r="F425" s="74">
        <f>4278951-2691066-G425</f>
        <v>1319166</v>
      </c>
      <c r="G425" s="19">
        <v>268719</v>
      </c>
      <c r="H425" s="26">
        <f t="shared" si="14"/>
        <v>-1940734</v>
      </c>
      <c r="I425" s="111">
        <f t="shared" si="15"/>
        <v>0.40466456026258474</v>
      </c>
    </row>
    <row r="426" spans="1:9" ht="18" hidden="1" customHeight="1">
      <c r="A426" s="1"/>
      <c r="B426" s="1"/>
      <c r="C426" s="48" t="s">
        <v>17</v>
      </c>
      <c r="D426" s="62" t="s">
        <v>18</v>
      </c>
      <c r="E426" s="77">
        <v>3030000</v>
      </c>
      <c r="F426" s="51">
        <v>350000</v>
      </c>
      <c r="G426" s="19"/>
      <c r="H426" s="26">
        <f t="shared" si="14"/>
        <v>-2680000</v>
      </c>
      <c r="I426" s="111">
        <f t="shared" si="15"/>
        <v>0.11551155115511551</v>
      </c>
    </row>
    <row r="427" spans="1:9" ht="18" hidden="1" customHeight="1">
      <c r="A427" s="1"/>
      <c r="B427" s="1"/>
      <c r="C427" s="48" t="s">
        <v>106</v>
      </c>
      <c r="D427" s="62" t="s">
        <v>107</v>
      </c>
      <c r="E427" s="77"/>
      <c r="F427" s="51">
        <v>0</v>
      </c>
      <c r="G427" s="19"/>
      <c r="H427" s="26">
        <f t="shared" si="14"/>
        <v>0</v>
      </c>
      <c r="I427" s="111"/>
    </row>
    <row r="428" spans="1:9" ht="17.25" hidden="1" customHeight="1">
      <c r="A428" s="1"/>
      <c r="B428" s="1"/>
      <c r="C428" s="48" t="s">
        <v>108</v>
      </c>
      <c r="D428" s="62" t="s">
        <v>109</v>
      </c>
      <c r="E428" s="77">
        <v>998000</v>
      </c>
      <c r="F428" s="51">
        <v>1454080</v>
      </c>
      <c r="G428" s="19"/>
      <c r="H428" s="26">
        <f t="shared" si="14"/>
        <v>456080</v>
      </c>
      <c r="I428" s="111">
        <f t="shared" si="15"/>
        <v>1.4569939879759519</v>
      </c>
    </row>
    <row r="429" spans="1:9" ht="15.75" hidden="1" customHeight="1">
      <c r="A429" s="1"/>
      <c r="B429" s="1"/>
      <c r="C429" s="48" t="s">
        <v>19</v>
      </c>
      <c r="D429" s="62" t="s">
        <v>20</v>
      </c>
      <c r="E429" s="77">
        <v>2410000</v>
      </c>
      <c r="F429" s="51">
        <v>300000</v>
      </c>
      <c r="G429" s="19"/>
      <c r="H429" s="26">
        <f t="shared" si="14"/>
        <v>-2110000</v>
      </c>
      <c r="I429" s="111">
        <f t="shared" si="15"/>
        <v>0.12448132780082988</v>
      </c>
    </row>
    <row r="430" spans="1:9" ht="14.25" hidden="1" customHeight="1">
      <c r="A430" s="1"/>
      <c r="B430" s="1"/>
      <c r="C430" s="48" t="s">
        <v>21</v>
      </c>
      <c r="D430" s="62" t="s">
        <v>22</v>
      </c>
      <c r="E430" s="77">
        <v>10000</v>
      </c>
      <c r="F430" s="51">
        <v>10000</v>
      </c>
      <c r="G430" s="19"/>
      <c r="H430" s="26">
        <f t="shared" si="14"/>
        <v>0</v>
      </c>
      <c r="I430" s="111">
        <f t="shared" si="15"/>
        <v>1</v>
      </c>
    </row>
    <row r="431" spans="1:9" ht="14.25" hidden="1" customHeight="1">
      <c r="A431" s="1"/>
      <c r="B431" s="1"/>
      <c r="C431" s="48" t="s">
        <v>23</v>
      </c>
      <c r="D431" s="62" t="s">
        <v>24</v>
      </c>
      <c r="E431" s="77">
        <v>1030000</v>
      </c>
      <c r="F431" s="51">
        <v>1135000</v>
      </c>
      <c r="G431" s="19"/>
      <c r="H431" s="26">
        <f t="shared" si="14"/>
        <v>105000</v>
      </c>
      <c r="I431" s="111">
        <f t="shared" si="15"/>
        <v>1.1019417475728155</v>
      </c>
    </row>
    <row r="432" spans="1:9" ht="16.5" hidden="1" customHeight="1">
      <c r="A432" s="1"/>
      <c r="B432" s="1"/>
      <c r="C432" s="48" t="s">
        <v>25</v>
      </c>
      <c r="D432" s="62" t="s">
        <v>26</v>
      </c>
      <c r="E432" s="77">
        <v>40000</v>
      </c>
      <c r="F432" s="51">
        <v>50000</v>
      </c>
      <c r="G432" s="19"/>
      <c r="H432" s="26">
        <f t="shared" si="14"/>
        <v>10000</v>
      </c>
      <c r="I432" s="111">
        <f t="shared" si="15"/>
        <v>1.25</v>
      </c>
    </row>
    <row r="433" spans="1:9" ht="14.25" hidden="1" customHeight="1">
      <c r="A433" s="1"/>
      <c r="B433" s="1"/>
      <c r="C433" s="48" t="s">
        <v>27</v>
      </c>
      <c r="D433" s="62" t="s">
        <v>28</v>
      </c>
      <c r="E433" s="77">
        <v>140000</v>
      </c>
      <c r="F433" s="51">
        <v>160000</v>
      </c>
      <c r="G433" s="19"/>
      <c r="H433" s="26">
        <f t="shared" si="14"/>
        <v>20000</v>
      </c>
      <c r="I433" s="111">
        <f t="shared" si="15"/>
        <v>1.1428571428571428</v>
      </c>
    </row>
    <row r="434" spans="1:9" ht="15" hidden="1" customHeight="1">
      <c r="A434" s="1"/>
      <c r="B434" s="1"/>
      <c r="C434" s="48" t="s">
        <v>29</v>
      </c>
      <c r="D434" s="62" t="s">
        <v>30</v>
      </c>
      <c r="E434" s="77"/>
      <c r="F434" s="51">
        <v>0</v>
      </c>
      <c r="G434" s="19"/>
      <c r="H434" s="26">
        <f t="shared" si="14"/>
        <v>0</v>
      </c>
      <c r="I434" s="111"/>
    </row>
    <row r="435" spans="1:9" ht="15.75" hidden="1" customHeight="1">
      <c r="A435" s="1"/>
      <c r="B435" s="1"/>
      <c r="C435" s="48" t="s">
        <v>31</v>
      </c>
      <c r="D435" s="62" t="s">
        <v>32</v>
      </c>
      <c r="E435" s="77">
        <v>25000</v>
      </c>
      <c r="F435" s="51">
        <v>40000</v>
      </c>
      <c r="G435" s="19"/>
      <c r="H435" s="26">
        <f t="shared" si="14"/>
        <v>15000</v>
      </c>
      <c r="I435" s="111">
        <f t="shared" si="15"/>
        <v>1.6</v>
      </c>
    </row>
    <row r="436" spans="1:9" ht="23.25" hidden="1" customHeight="1">
      <c r="A436" s="1"/>
      <c r="B436" s="1"/>
      <c r="C436" s="48" t="s">
        <v>33</v>
      </c>
      <c r="D436" s="62" t="s">
        <v>34</v>
      </c>
      <c r="E436" s="77">
        <v>18000</v>
      </c>
      <c r="F436" s="51">
        <v>18000</v>
      </c>
      <c r="G436" s="19"/>
      <c r="H436" s="26">
        <f t="shared" si="14"/>
        <v>0</v>
      </c>
      <c r="I436" s="111">
        <f t="shared" si="15"/>
        <v>1</v>
      </c>
    </row>
    <row r="437" spans="1:9" ht="15" hidden="1" customHeight="1">
      <c r="A437" s="1"/>
      <c r="B437" s="1"/>
      <c r="C437" s="48">
        <v>3110</v>
      </c>
      <c r="D437" s="62" t="s">
        <v>37</v>
      </c>
      <c r="E437" s="77"/>
      <c r="F437" s="51">
        <v>60000</v>
      </c>
      <c r="G437" s="19"/>
      <c r="H437" s="26">
        <f t="shared" si="14"/>
        <v>60000</v>
      </c>
      <c r="I437" s="111"/>
    </row>
    <row r="438" spans="1:9" ht="23.25" customHeight="1">
      <c r="A438" s="1"/>
      <c r="B438" s="1"/>
      <c r="C438" s="44" t="s">
        <v>136</v>
      </c>
      <c r="D438" s="45" t="s">
        <v>122</v>
      </c>
      <c r="E438" s="46">
        <v>139092877</v>
      </c>
      <c r="F438" s="46">
        <f>F439+F440</f>
        <v>162234299.96000001</v>
      </c>
      <c r="G438" s="19" t="e">
        <f>G439+G440</f>
        <v>#REF!</v>
      </c>
      <c r="H438" s="18">
        <f t="shared" si="14"/>
        <v>23141422.960000008</v>
      </c>
      <c r="I438" s="110">
        <f t="shared" si="15"/>
        <v>1.1663738895845832</v>
      </c>
    </row>
    <row r="439" spans="1:9" ht="12" customHeight="1">
      <c r="A439" s="1"/>
      <c r="B439" s="1"/>
      <c r="C439" s="48" t="s">
        <v>13</v>
      </c>
      <c r="D439" s="62" t="s">
        <v>14</v>
      </c>
      <c r="E439" s="50">
        <v>111350000</v>
      </c>
      <c r="F439" s="50">
        <f>F443+F446+F449+F452+F455+F458+F461+F464+F467+F470+F473</f>
        <v>132964868</v>
      </c>
      <c r="G439" s="19" t="e">
        <f>G443+G446+G449+G452+G455+G458+G461+G464+G467+G470+G473</f>
        <v>#REF!</v>
      </c>
      <c r="H439" s="26">
        <f t="shared" si="14"/>
        <v>21614868</v>
      </c>
      <c r="I439" s="111">
        <f t="shared" si="15"/>
        <v>1.1941164616075437</v>
      </c>
    </row>
    <row r="440" spans="1:9" ht="12" customHeight="1">
      <c r="A440" s="1"/>
      <c r="B440" s="1"/>
      <c r="C440" s="48" t="s">
        <v>15</v>
      </c>
      <c r="D440" s="62" t="s">
        <v>16</v>
      </c>
      <c r="E440" s="50">
        <v>24496000</v>
      </c>
      <c r="F440" s="50">
        <f>F444+F447+F450+F453+F456+F459+F462+F465+F468+F471+F474</f>
        <v>29269431.960000001</v>
      </c>
      <c r="G440" s="19" t="e">
        <f>G444+G447+G450+G453+G456+G459+G462+G465+G468+G471+G474</f>
        <v>#REF!</v>
      </c>
      <c r="H440" s="26">
        <f t="shared" si="14"/>
        <v>4773431.9600000009</v>
      </c>
      <c r="I440" s="111">
        <f t="shared" si="15"/>
        <v>1.1948657723709994</v>
      </c>
    </row>
    <row r="441" spans="1:9" ht="24.75" hidden="1" customHeight="1">
      <c r="A441" s="1"/>
      <c r="B441" s="1"/>
      <c r="C441" s="48" t="s">
        <v>42</v>
      </c>
      <c r="D441" s="62" t="s">
        <v>137</v>
      </c>
      <c r="E441" s="50">
        <v>3246877</v>
      </c>
      <c r="F441" s="51"/>
      <c r="G441" s="19"/>
      <c r="H441" s="26">
        <f t="shared" si="14"/>
        <v>-3246877</v>
      </c>
      <c r="I441" s="111">
        <f t="shared" si="15"/>
        <v>0</v>
      </c>
    </row>
    <row r="442" spans="1:9" ht="24.75" hidden="1" customHeight="1">
      <c r="A442" s="1"/>
      <c r="B442" s="1"/>
      <c r="C442" s="44" t="s">
        <v>136</v>
      </c>
      <c r="D442" s="45" t="s">
        <v>123</v>
      </c>
      <c r="E442" s="46"/>
      <c r="F442" s="47">
        <f>F443+F444</f>
        <v>1673498</v>
      </c>
      <c r="G442" s="19"/>
      <c r="H442" s="26">
        <f t="shared" si="14"/>
        <v>1673498</v>
      </c>
      <c r="I442" s="111" t="e">
        <f t="shared" si="15"/>
        <v>#DIV/0!</v>
      </c>
    </row>
    <row r="443" spans="1:9" ht="12" hidden="1" customHeight="1">
      <c r="A443" s="1"/>
      <c r="B443" s="1"/>
      <c r="C443" s="48">
        <v>2111</v>
      </c>
      <c r="D443" s="62" t="s">
        <v>14</v>
      </c>
      <c r="E443" s="50">
        <v>2500000</v>
      </c>
      <c r="F443" s="51">
        <v>1371720</v>
      </c>
      <c r="G443" s="19" t="e">
        <f>#REF!-#REF!</f>
        <v>#REF!</v>
      </c>
      <c r="H443" s="26">
        <f t="shared" si="14"/>
        <v>-1128280</v>
      </c>
      <c r="I443" s="111">
        <f t="shared" si="15"/>
        <v>0.54868799999999995</v>
      </c>
    </row>
    <row r="444" spans="1:9" ht="12" hidden="1" customHeight="1">
      <c r="A444" s="1"/>
      <c r="B444" s="1"/>
      <c r="C444" s="48">
        <v>2120</v>
      </c>
      <c r="D444" s="62" t="s">
        <v>16</v>
      </c>
      <c r="E444" s="50">
        <v>550000</v>
      </c>
      <c r="F444" s="51">
        <v>301778</v>
      </c>
      <c r="G444" s="19" t="e">
        <f>#REF!-#REF!</f>
        <v>#REF!</v>
      </c>
      <c r="H444" s="26">
        <f t="shared" si="14"/>
        <v>-248222</v>
      </c>
      <c r="I444" s="111">
        <f t="shared" si="15"/>
        <v>0.54868727272727269</v>
      </c>
    </row>
    <row r="445" spans="1:9" ht="12" hidden="1" customHeight="1">
      <c r="A445" s="1"/>
      <c r="B445" s="1"/>
      <c r="C445" s="44" t="s">
        <v>136</v>
      </c>
      <c r="D445" s="45" t="s">
        <v>138</v>
      </c>
      <c r="E445" s="46"/>
      <c r="F445" s="47">
        <f>F446+F447</f>
        <v>3695910</v>
      </c>
      <c r="G445" s="19" t="e">
        <f>#REF!-#REF!</f>
        <v>#REF!</v>
      </c>
      <c r="H445" s="26">
        <f t="shared" si="14"/>
        <v>3695910</v>
      </c>
      <c r="I445" s="111" t="e">
        <f t="shared" si="15"/>
        <v>#DIV/0!</v>
      </c>
    </row>
    <row r="446" spans="1:9" ht="12" hidden="1" customHeight="1">
      <c r="A446" s="1"/>
      <c r="B446" s="1"/>
      <c r="C446" s="48">
        <v>2111</v>
      </c>
      <c r="D446" s="62" t="s">
        <v>14</v>
      </c>
      <c r="E446" s="50"/>
      <c r="F446" s="51">
        <v>3029430</v>
      </c>
      <c r="G446" s="19" t="e">
        <f>#REF!-#REF!</f>
        <v>#REF!</v>
      </c>
      <c r="H446" s="26">
        <f t="shared" si="14"/>
        <v>3029430</v>
      </c>
      <c r="I446" s="111" t="e">
        <f t="shared" si="15"/>
        <v>#DIV/0!</v>
      </c>
    </row>
    <row r="447" spans="1:9" ht="12" hidden="1" customHeight="1">
      <c r="A447" s="1"/>
      <c r="B447" s="1"/>
      <c r="C447" s="48">
        <v>2120</v>
      </c>
      <c r="D447" s="62" t="s">
        <v>16</v>
      </c>
      <c r="E447" s="50"/>
      <c r="F447" s="51">
        <v>666480</v>
      </c>
      <c r="G447" s="19" t="e">
        <f>#REF!-#REF!</f>
        <v>#REF!</v>
      </c>
      <c r="H447" s="26">
        <f t="shared" si="14"/>
        <v>666480</v>
      </c>
      <c r="I447" s="111" t="e">
        <f t="shared" si="15"/>
        <v>#DIV/0!</v>
      </c>
    </row>
    <row r="448" spans="1:9" ht="22.5" hidden="1" customHeight="1">
      <c r="A448" s="1"/>
      <c r="B448" s="1"/>
      <c r="C448" s="44" t="s">
        <v>136</v>
      </c>
      <c r="D448" s="45" t="s">
        <v>125</v>
      </c>
      <c r="E448" s="46"/>
      <c r="F448" s="47">
        <f>F449+F450</f>
        <v>20777840</v>
      </c>
      <c r="G448" s="19" t="e">
        <f>#REF!-#REF!</f>
        <v>#REF!</v>
      </c>
      <c r="H448" s="26">
        <f t="shared" si="14"/>
        <v>20777840</v>
      </c>
      <c r="I448" s="111" t="e">
        <f t="shared" si="15"/>
        <v>#DIV/0!</v>
      </c>
    </row>
    <row r="449" spans="1:9" ht="12" hidden="1" customHeight="1">
      <c r="A449" s="1"/>
      <c r="B449" s="1"/>
      <c r="C449" s="48">
        <v>2111</v>
      </c>
      <c r="D449" s="62" t="s">
        <v>14</v>
      </c>
      <c r="E449" s="50">
        <v>20239000</v>
      </c>
      <c r="F449" s="51">
        <v>17031016</v>
      </c>
      <c r="G449" s="19" t="e">
        <f>#REF!-#REF!</f>
        <v>#REF!</v>
      </c>
      <c r="H449" s="26">
        <f t="shared" si="14"/>
        <v>-3207984</v>
      </c>
      <c r="I449" s="111">
        <f t="shared" si="15"/>
        <v>0.84149493552052967</v>
      </c>
    </row>
    <row r="450" spans="1:9" ht="12" hidden="1" customHeight="1">
      <c r="A450" s="1"/>
      <c r="B450" s="1"/>
      <c r="C450" s="48">
        <v>2120</v>
      </c>
      <c r="D450" s="62" t="s">
        <v>16</v>
      </c>
      <c r="E450" s="50">
        <v>4452600</v>
      </c>
      <c r="F450" s="51">
        <v>3746824</v>
      </c>
      <c r="G450" s="19" t="e">
        <f>#REF!-#REF!</f>
        <v>#REF!</v>
      </c>
      <c r="H450" s="26">
        <f t="shared" si="14"/>
        <v>-705776</v>
      </c>
      <c r="I450" s="111">
        <f t="shared" si="15"/>
        <v>0.8414912635314199</v>
      </c>
    </row>
    <row r="451" spans="1:9" ht="13.5" hidden="1" customHeight="1">
      <c r="A451" s="1"/>
      <c r="B451" s="1"/>
      <c r="C451" s="44" t="s">
        <v>136</v>
      </c>
      <c r="D451" s="45" t="s">
        <v>126</v>
      </c>
      <c r="E451" s="46"/>
      <c r="F451" s="47">
        <f>F452+F453</f>
        <v>29705912</v>
      </c>
      <c r="G451" s="19" t="e">
        <f>#REF!-#REF!</f>
        <v>#REF!</v>
      </c>
      <c r="H451" s="26">
        <f t="shared" si="14"/>
        <v>29705912</v>
      </c>
      <c r="I451" s="111" t="e">
        <f t="shared" si="15"/>
        <v>#DIV/0!</v>
      </c>
    </row>
    <row r="452" spans="1:9" ht="12" hidden="1" customHeight="1">
      <c r="A452" s="1"/>
      <c r="B452" s="1"/>
      <c r="C452" s="48">
        <v>2111</v>
      </c>
      <c r="D452" s="62" t="s">
        <v>14</v>
      </c>
      <c r="E452" s="50">
        <v>26661000</v>
      </c>
      <c r="F452" s="51">
        <v>24349108</v>
      </c>
      <c r="G452" s="19" t="e">
        <f>#REF!-#REF!</f>
        <v>#REF!</v>
      </c>
      <c r="H452" s="26">
        <f t="shared" si="14"/>
        <v>-2311892</v>
      </c>
      <c r="I452" s="111">
        <f t="shared" si="15"/>
        <v>0.9132856231949289</v>
      </c>
    </row>
    <row r="453" spans="1:9" ht="12" hidden="1" customHeight="1">
      <c r="A453" s="1"/>
      <c r="B453" s="1"/>
      <c r="C453" s="48">
        <v>2120</v>
      </c>
      <c r="D453" s="62" t="s">
        <v>16</v>
      </c>
      <c r="E453" s="50">
        <v>5865500</v>
      </c>
      <c r="F453" s="51">
        <v>5356804</v>
      </c>
      <c r="G453" s="19" t="e">
        <f>#REF!-#REF!</f>
        <v>#REF!</v>
      </c>
      <c r="H453" s="26">
        <f t="shared" si="14"/>
        <v>-508696</v>
      </c>
      <c r="I453" s="111">
        <f t="shared" si="15"/>
        <v>0.91327320774017562</v>
      </c>
    </row>
    <row r="454" spans="1:9" ht="22.5" hidden="1" customHeight="1">
      <c r="A454" s="1"/>
      <c r="B454" s="1"/>
      <c r="C454" s="44" t="s">
        <v>136</v>
      </c>
      <c r="D454" s="45" t="s">
        <v>127</v>
      </c>
      <c r="E454" s="46"/>
      <c r="F454" s="47">
        <f>F455+F456</f>
        <v>13818953</v>
      </c>
      <c r="G454" s="19" t="e">
        <f>#REF!-#REF!</f>
        <v>#REF!</v>
      </c>
      <c r="H454" s="26">
        <f t="shared" si="14"/>
        <v>13818953</v>
      </c>
      <c r="I454" s="111" t="e">
        <f t="shared" si="15"/>
        <v>#DIV/0!</v>
      </c>
    </row>
    <row r="455" spans="1:9" ht="12" hidden="1" customHeight="1">
      <c r="A455" s="1"/>
      <c r="B455" s="1"/>
      <c r="C455" s="48">
        <v>2111</v>
      </c>
      <c r="D455" s="62" t="s">
        <v>14</v>
      </c>
      <c r="E455" s="50">
        <v>14860000</v>
      </c>
      <c r="F455" s="51">
        <v>11327011</v>
      </c>
      <c r="G455" s="19" t="e">
        <f>#REF!-#REF!</f>
        <v>#REF!</v>
      </c>
      <c r="H455" s="26">
        <f t="shared" si="14"/>
        <v>-3532989</v>
      </c>
      <c r="I455" s="111">
        <f t="shared" si="15"/>
        <v>0.7622483849259758</v>
      </c>
    </row>
    <row r="456" spans="1:9" ht="12" hidden="1" customHeight="1">
      <c r="A456" s="1"/>
      <c r="B456" s="1"/>
      <c r="C456" s="48">
        <v>2120</v>
      </c>
      <c r="D456" s="62" t="s">
        <v>16</v>
      </c>
      <c r="E456" s="50">
        <v>3269300</v>
      </c>
      <c r="F456" s="51">
        <v>2491942</v>
      </c>
      <c r="G456" s="19" t="e">
        <f>#REF!-#REF!</f>
        <v>#REF!</v>
      </c>
      <c r="H456" s="26">
        <f t="shared" si="14"/>
        <v>-777358</v>
      </c>
      <c r="I456" s="111">
        <f t="shared" si="15"/>
        <v>0.76222494111889394</v>
      </c>
    </row>
    <row r="457" spans="1:9" ht="22.5" hidden="1" customHeight="1">
      <c r="A457" s="1"/>
      <c r="B457" s="1"/>
      <c r="C457" s="44" t="s">
        <v>136</v>
      </c>
      <c r="D457" s="45" t="s">
        <v>128</v>
      </c>
      <c r="E457" s="46"/>
      <c r="F457" s="47">
        <f>F458+F459</f>
        <v>14022931</v>
      </c>
      <c r="G457" s="19" t="e">
        <f>#REF!-#REF!</f>
        <v>#REF!</v>
      </c>
      <c r="H457" s="26">
        <f t="shared" si="14"/>
        <v>14022931</v>
      </c>
      <c r="I457" s="111" t="e">
        <f t="shared" si="15"/>
        <v>#DIV/0!</v>
      </c>
    </row>
    <row r="458" spans="1:9" ht="12" hidden="1" customHeight="1">
      <c r="A458" s="1"/>
      <c r="B458" s="1"/>
      <c r="C458" s="48">
        <v>2111</v>
      </c>
      <c r="D458" s="62" t="s">
        <v>14</v>
      </c>
      <c r="E458" s="50">
        <v>14688000</v>
      </c>
      <c r="F458" s="51">
        <v>11494214</v>
      </c>
      <c r="G458" s="19" t="e">
        <f>#REF!-#REF!</f>
        <v>#REF!</v>
      </c>
      <c r="H458" s="26">
        <f t="shared" ref="H458:H521" si="16">F458-E458</f>
        <v>-3193786</v>
      </c>
      <c r="I458" s="111">
        <f t="shared" ref="I458:I521" si="17">F458/E458</f>
        <v>0.78255814270152502</v>
      </c>
    </row>
    <row r="459" spans="1:9" ht="12" hidden="1" customHeight="1">
      <c r="A459" s="1"/>
      <c r="B459" s="1"/>
      <c r="C459" s="48">
        <v>2120</v>
      </c>
      <c r="D459" s="62" t="s">
        <v>16</v>
      </c>
      <c r="E459" s="50">
        <v>3231500</v>
      </c>
      <c r="F459" s="51">
        <v>2528717</v>
      </c>
      <c r="G459" s="19" t="e">
        <f>#REF!-#REF!</f>
        <v>#REF!</v>
      </c>
      <c r="H459" s="26">
        <f t="shared" si="16"/>
        <v>-702783</v>
      </c>
      <c r="I459" s="111">
        <f t="shared" si="17"/>
        <v>0.78252112022280673</v>
      </c>
    </row>
    <row r="460" spans="1:9" ht="22.5" hidden="1" customHeight="1">
      <c r="A460" s="1"/>
      <c r="B460" s="1"/>
      <c r="C460" s="44" t="s">
        <v>136</v>
      </c>
      <c r="D460" s="45" t="s">
        <v>129</v>
      </c>
      <c r="E460" s="46"/>
      <c r="F460" s="47">
        <f>F461+F462</f>
        <v>14426638</v>
      </c>
      <c r="G460" s="19" t="e">
        <f>#REF!-#REF!</f>
        <v>#REF!</v>
      </c>
      <c r="H460" s="26">
        <f t="shared" si="16"/>
        <v>14426638</v>
      </c>
      <c r="I460" s="111" t="e">
        <f t="shared" si="17"/>
        <v>#DIV/0!</v>
      </c>
    </row>
    <row r="461" spans="1:9" ht="12" hidden="1" customHeight="1">
      <c r="A461" s="1"/>
      <c r="B461" s="1"/>
      <c r="C461" s="48">
        <v>2111</v>
      </c>
      <c r="D461" s="62" t="s">
        <v>14</v>
      </c>
      <c r="E461" s="50">
        <v>14569000</v>
      </c>
      <c r="F461" s="51">
        <v>11825113</v>
      </c>
      <c r="G461" s="19" t="e">
        <f>#REF!-#REF!</f>
        <v>#REF!</v>
      </c>
      <c r="H461" s="26">
        <f t="shared" si="16"/>
        <v>-2743887</v>
      </c>
      <c r="I461" s="111">
        <f t="shared" si="17"/>
        <v>0.81166263985174003</v>
      </c>
    </row>
    <row r="462" spans="1:9" ht="12" hidden="1" customHeight="1">
      <c r="A462" s="1"/>
      <c r="B462" s="1"/>
      <c r="C462" s="48">
        <v>2120</v>
      </c>
      <c r="D462" s="62" t="s">
        <v>16</v>
      </c>
      <c r="E462" s="50">
        <v>3205200</v>
      </c>
      <c r="F462" s="51">
        <v>2601525</v>
      </c>
      <c r="G462" s="19" t="e">
        <f>#REF!-#REF!</f>
        <v>#REF!</v>
      </c>
      <c r="H462" s="26">
        <f t="shared" si="16"/>
        <v>-603675</v>
      </c>
      <c r="I462" s="111">
        <f t="shared" si="17"/>
        <v>0.81165761886933729</v>
      </c>
    </row>
    <row r="463" spans="1:9" ht="22.5" hidden="1" customHeight="1">
      <c r="A463" s="1"/>
      <c r="B463" s="1"/>
      <c r="C463" s="44" t="s">
        <v>136</v>
      </c>
      <c r="D463" s="45" t="s">
        <v>130</v>
      </c>
      <c r="E463" s="46"/>
      <c r="F463" s="47">
        <f>F464+F465</f>
        <v>32693583</v>
      </c>
      <c r="G463" s="19" t="e">
        <f>#REF!-#REF!</f>
        <v>#REF!</v>
      </c>
      <c r="H463" s="26">
        <f t="shared" si="16"/>
        <v>32693583</v>
      </c>
      <c r="I463" s="111" t="e">
        <f t="shared" si="17"/>
        <v>#DIV/0!</v>
      </c>
    </row>
    <row r="464" spans="1:9" ht="12" hidden="1" customHeight="1">
      <c r="A464" s="1"/>
      <c r="B464" s="1"/>
      <c r="C464" s="48">
        <v>2111</v>
      </c>
      <c r="D464" s="62" t="s">
        <v>14</v>
      </c>
      <c r="E464" s="50">
        <v>31216480</v>
      </c>
      <c r="F464" s="74">
        <v>26783949</v>
      </c>
      <c r="G464" s="19">
        <v>26783949</v>
      </c>
      <c r="H464" s="26">
        <f t="shared" si="16"/>
        <v>-4432531</v>
      </c>
      <c r="I464" s="111">
        <f t="shared" si="17"/>
        <v>0.85800670030701731</v>
      </c>
    </row>
    <row r="465" spans="1:9" ht="12" hidden="1" customHeight="1">
      <c r="A465" s="1"/>
      <c r="B465" s="1"/>
      <c r="C465" s="48">
        <v>2120</v>
      </c>
      <c r="D465" s="62" t="s">
        <v>16</v>
      </c>
      <c r="E465" s="50">
        <v>6856120</v>
      </c>
      <c r="F465" s="51">
        <v>5909634</v>
      </c>
      <c r="G465" s="19">
        <v>5909634</v>
      </c>
      <c r="H465" s="26">
        <f t="shared" si="16"/>
        <v>-946486</v>
      </c>
      <c r="I465" s="111">
        <f t="shared" si="17"/>
        <v>0.86195019923805305</v>
      </c>
    </row>
    <row r="466" spans="1:9" ht="25.5" hidden="1" customHeight="1">
      <c r="A466" s="1"/>
      <c r="B466" s="1"/>
      <c r="C466" s="44" t="s">
        <v>136</v>
      </c>
      <c r="D466" s="45" t="s">
        <v>133</v>
      </c>
      <c r="E466" s="46"/>
      <c r="F466" s="47">
        <f>F467+F468</f>
        <v>11612093</v>
      </c>
      <c r="G466" s="19" t="e">
        <f>#REF!-#REF!</f>
        <v>#REF!</v>
      </c>
      <c r="H466" s="26">
        <f t="shared" si="16"/>
        <v>11612093</v>
      </c>
      <c r="I466" s="111" t="e">
        <f t="shared" si="17"/>
        <v>#DIV/0!</v>
      </c>
    </row>
    <row r="467" spans="1:9" ht="12" hidden="1" customHeight="1">
      <c r="A467" s="1"/>
      <c r="B467" s="1"/>
      <c r="C467" s="48">
        <v>2111</v>
      </c>
      <c r="D467" s="62" t="s">
        <v>14</v>
      </c>
      <c r="E467" s="50">
        <v>7068000</v>
      </c>
      <c r="F467" s="51">
        <v>9518109</v>
      </c>
      <c r="G467" s="19" t="e">
        <f>#REF!-#REF!</f>
        <v>#REF!</v>
      </c>
      <c r="H467" s="26">
        <f t="shared" si="16"/>
        <v>2450109</v>
      </c>
      <c r="I467" s="111">
        <f t="shared" si="17"/>
        <v>1.3466481324278439</v>
      </c>
    </row>
    <row r="468" spans="1:9" ht="12" hidden="1" customHeight="1">
      <c r="A468" s="1"/>
      <c r="B468" s="1"/>
      <c r="C468" s="48">
        <v>2120</v>
      </c>
      <c r="D468" s="62" t="s">
        <v>16</v>
      </c>
      <c r="E468" s="50">
        <v>1555000</v>
      </c>
      <c r="F468" s="51">
        <v>2093984</v>
      </c>
      <c r="G468" s="19" t="e">
        <f>#REF!-#REF!</f>
        <v>#REF!</v>
      </c>
      <c r="H468" s="26">
        <f t="shared" si="16"/>
        <v>538984</v>
      </c>
      <c r="I468" s="111">
        <f t="shared" si="17"/>
        <v>1.3466135048231511</v>
      </c>
    </row>
    <row r="469" spans="1:9" ht="21.75" hidden="1" customHeight="1">
      <c r="A469" s="1"/>
      <c r="B469" s="1"/>
      <c r="C469" s="44" t="s">
        <v>136</v>
      </c>
      <c r="D469" s="45" t="s">
        <v>134</v>
      </c>
      <c r="E469" s="46"/>
      <c r="F469" s="47">
        <f>F470+F471</f>
        <v>4883758</v>
      </c>
      <c r="G469" s="19" t="e">
        <f>#REF!-#REF!</f>
        <v>#REF!</v>
      </c>
      <c r="H469" s="26">
        <f t="shared" si="16"/>
        <v>4883758</v>
      </c>
      <c r="I469" s="111" t="e">
        <f t="shared" si="17"/>
        <v>#DIV/0!</v>
      </c>
    </row>
    <row r="470" spans="1:9" ht="12" hidden="1" customHeight="1">
      <c r="A470" s="1"/>
      <c r="B470" s="1"/>
      <c r="C470" s="48">
        <v>2111</v>
      </c>
      <c r="D470" s="62" t="s">
        <v>14</v>
      </c>
      <c r="E470" s="50">
        <v>5865000</v>
      </c>
      <c r="F470" s="51">
        <v>4003080</v>
      </c>
      <c r="G470" s="19" t="e">
        <f>#REF!-#REF!</f>
        <v>#REF!</v>
      </c>
      <c r="H470" s="26">
        <f t="shared" si="16"/>
        <v>-1861920</v>
      </c>
      <c r="I470" s="111">
        <f t="shared" si="17"/>
        <v>0.68253708439897698</v>
      </c>
    </row>
    <row r="471" spans="1:9" ht="12" hidden="1" customHeight="1">
      <c r="A471" s="1"/>
      <c r="B471" s="1"/>
      <c r="C471" s="48">
        <v>2120</v>
      </c>
      <c r="D471" s="62" t="s">
        <v>16</v>
      </c>
      <c r="E471" s="50">
        <v>1290400</v>
      </c>
      <c r="F471" s="51">
        <v>880678</v>
      </c>
      <c r="G471" s="19" t="e">
        <f>#REF!-#REF!</f>
        <v>#REF!</v>
      </c>
      <c r="H471" s="26">
        <f t="shared" si="16"/>
        <v>-409722</v>
      </c>
      <c r="I471" s="111">
        <f t="shared" si="17"/>
        <v>0.68248450092994417</v>
      </c>
    </row>
    <row r="472" spans="1:9" ht="17.25" hidden="1" customHeight="1">
      <c r="A472" s="1"/>
      <c r="B472" s="1"/>
      <c r="C472" s="44" t="s">
        <v>136</v>
      </c>
      <c r="D472" s="81" t="s">
        <v>135</v>
      </c>
      <c r="E472" s="46"/>
      <c r="F472" s="47">
        <f>F473+F474</f>
        <v>14923183.960000001</v>
      </c>
      <c r="G472" s="19" t="e">
        <f>#REF!-#REF!</f>
        <v>#REF!</v>
      </c>
      <c r="H472" s="26">
        <f t="shared" si="16"/>
        <v>14923183.960000001</v>
      </c>
      <c r="I472" s="111" t="e">
        <f t="shared" si="17"/>
        <v>#DIV/0!</v>
      </c>
    </row>
    <row r="473" spans="1:9" ht="12" hidden="1" customHeight="1">
      <c r="A473" s="1"/>
      <c r="B473" s="1"/>
      <c r="C473" s="48">
        <v>2111</v>
      </c>
      <c r="D473" s="62" t="s">
        <v>14</v>
      </c>
      <c r="E473" s="50">
        <v>14817000</v>
      </c>
      <c r="F473" s="51">
        <v>12232118</v>
      </c>
      <c r="G473" s="19" t="e">
        <f>#REF!-#REF!</f>
        <v>#REF!</v>
      </c>
      <c r="H473" s="26">
        <f t="shared" si="16"/>
        <v>-2584882</v>
      </c>
      <c r="I473" s="111">
        <f t="shared" si="17"/>
        <v>0.82554619693595199</v>
      </c>
    </row>
    <row r="474" spans="1:9" ht="12" hidden="1" customHeight="1">
      <c r="A474" s="1"/>
      <c r="B474" s="1"/>
      <c r="C474" s="48">
        <v>2120</v>
      </c>
      <c r="D474" s="62" t="s">
        <v>16</v>
      </c>
      <c r="E474" s="50">
        <v>3259900</v>
      </c>
      <c r="F474" s="51">
        <f>F473/100*22</f>
        <v>2691065.96</v>
      </c>
      <c r="G474" s="19" t="e">
        <f>#REF!-#REF!</f>
        <v>#REF!</v>
      </c>
      <c r="H474" s="26">
        <f t="shared" si="16"/>
        <v>-568834.04</v>
      </c>
      <c r="I474" s="111">
        <f t="shared" si="17"/>
        <v>0.8255056780882849</v>
      </c>
    </row>
    <row r="475" spans="1:9" ht="24" customHeight="1">
      <c r="A475" s="1"/>
      <c r="B475" s="1"/>
      <c r="C475" s="44" t="s">
        <v>139</v>
      </c>
      <c r="D475" s="45" t="s">
        <v>140</v>
      </c>
      <c r="E475" s="46">
        <v>15405700</v>
      </c>
      <c r="F475" s="46">
        <f>F476+F477+F478+F479+F480+F481+F482+F483+F484+F485+F486</f>
        <v>14306262</v>
      </c>
      <c r="G475" s="19"/>
      <c r="H475" s="18">
        <f t="shared" si="16"/>
        <v>-1099438</v>
      </c>
      <c r="I475" s="110">
        <f t="shared" si="17"/>
        <v>0.92863433664163264</v>
      </c>
    </row>
    <row r="476" spans="1:9" ht="12" customHeight="1">
      <c r="A476" s="1"/>
      <c r="B476" s="1"/>
      <c r="C476" s="48" t="s">
        <v>13</v>
      </c>
      <c r="D476" s="62" t="s">
        <v>14</v>
      </c>
      <c r="E476" s="50">
        <v>9557000</v>
      </c>
      <c r="F476" s="50">
        <f>F488+F502</f>
        <v>10494254</v>
      </c>
      <c r="G476" s="19"/>
      <c r="H476" s="26">
        <f t="shared" si="16"/>
        <v>937254</v>
      </c>
      <c r="I476" s="111">
        <f t="shared" si="17"/>
        <v>1.0980698964110076</v>
      </c>
    </row>
    <row r="477" spans="1:9" ht="12" customHeight="1">
      <c r="A477" s="1"/>
      <c r="B477" s="1"/>
      <c r="C477" s="48" t="s">
        <v>15</v>
      </c>
      <c r="D477" s="62" t="s">
        <v>16</v>
      </c>
      <c r="E477" s="50">
        <v>2102700</v>
      </c>
      <c r="F477" s="50">
        <f>F489+F503</f>
        <v>2360008</v>
      </c>
      <c r="G477" s="19"/>
      <c r="H477" s="26">
        <f t="shared" si="16"/>
        <v>257308</v>
      </c>
      <c r="I477" s="111">
        <f t="shared" si="17"/>
        <v>1.1223702858229896</v>
      </c>
    </row>
    <row r="478" spans="1:9" ht="20.100000000000001" customHeight="1">
      <c r="A478" s="1"/>
      <c r="B478" s="1"/>
      <c r="C478" s="48" t="s">
        <v>17</v>
      </c>
      <c r="D478" s="62" t="s">
        <v>18</v>
      </c>
      <c r="E478" s="50">
        <v>1940000</v>
      </c>
      <c r="F478" s="50">
        <f>F490+F504</f>
        <v>365000</v>
      </c>
      <c r="G478" s="19"/>
      <c r="H478" s="26">
        <f t="shared" si="16"/>
        <v>-1575000</v>
      </c>
      <c r="I478" s="111">
        <f t="shared" si="17"/>
        <v>0.18814432989690721</v>
      </c>
    </row>
    <row r="479" spans="1:9" ht="12" customHeight="1">
      <c r="A479" s="1"/>
      <c r="B479" s="1"/>
      <c r="C479" s="48" t="s">
        <v>19</v>
      </c>
      <c r="D479" s="62" t="s">
        <v>20</v>
      </c>
      <c r="E479" s="50">
        <v>985000</v>
      </c>
      <c r="F479" s="50">
        <f>F493+F507</f>
        <v>290000</v>
      </c>
      <c r="G479" s="19"/>
      <c r="H479" s="26">
        <f t="shared" si="16"/>
        <v>-695000</v>
      </c>
      <c r="I479" s="111">
        <f t="shared" si="17"/>
        <v>0.29441624365482233</v>
      </c>
    </row>
    <row r="480" spans="1:9" ht="12" customHeight="1">
      <c r="A480" s="1"/>
      <c r="B480" s="1"/>
      <c r="C480" s="48" t="s">
        <v>21</v>
      </c>
      <c r="D480" s="62" t="s">
        <v>22</v>
      </c>
      <c r="E480" s="50">
        <v>40000</v>
      </c>
      <c r="F480" s="50">
        <f>F494+F508</f>
        <v>12000</v>
      </c>
      <c r="G480" s="19"/>
      <c r="H480" s="26">
        <f t="shared" si="16"/>
        <v>-28000</v>
      </c>
      <c r="I480" s="111">
        <f t="shared" si="17"/>
        <v>0.3</v>
      </c>
    </row>
    <row r="481" spans="1:9" ht="12" customHeight="1">
      <c r="A481" s="1"/>
      <c r="B481" s="1"/>
      <c r="C481" s="48" t="s">
        <v>23</v>
      </c>
      <c r="D481" s="62" t="s">
        <v>24</v>
      </c>
      <c r="E481" s="50">
        <v>100000</v>
      </c>
      <c r="F481" s="50">
        <f>F495+F509</f>
        <v>250000</v>
      </c>
      <c r="G481" s="19"/>
      <c r="H481" s="26">
        <f t="shared" si="16"/>
        <v>150000</v>
      </c>
      <c r="I481" s="111">
        <f t="shared" si="17"/>
        <v>2.5</v>
      </c>
    </row>
    <row r="482" spans="1:9" ht="20.100000000000001" customHeight="1">
      <c r="A482" s="1"/>
      <c r="B482" s="1"/>
      <c r="C482" s="48" t="s">
        <v>25</v>
      </c>
      <c r="D482" s="62" t="s">
        <v>26</v>
      </c>
      <c r="E482" s="50">
        <v>20000</v>
      </c>
      <c r="F482" s="50">
        <f>F496+F510</f>
        <v>40000</v>
      </c>
      <c r="G482" s="19"/>
      <c r="H482" s="26">
        <f t="shared" si="16"/>
        <v>20000</v>
      </c>
      <c r="I482" s="111">
        <f t="shared" si="17"/>
        <v>2</v>
      </c>
    </row>
    <row r="483" spans="1:9" ht="12" customHeight="1">
      <c r="A483" s="1"/>
      <c r="B483" s="1"/>
      <c r="C483" s="48" t="s">
        <v>27</v>
      </c>
      <c r="D483" s="62" t="s">
        <v>28</v>
      </c>
      <c r="E483" s="50">
        <v>75000</v>
      </c>
      <c r="F483" s="50">
        <f>F497+F511</f>
        <v>110000</v>
      </c>
      <c r="G483" s="19"/>
      <c r="H483" s="26">
        <f t="shared" si="16"/>
        <v>35000</v>
      </c>
      <c r="I483" s="111">
        <f t="shared" si="17"/>
        <v>1.4666666666666666</v>
      </c>
    </row>
    <row r="484" spans="1:9" ht="12.75" customHeight="1">
      <c r="A484" s="1"/>
      <c r="B484" s="1"/>
      <c r="C484" s="48" t="s">
        <v>31</v>
      </c>
      <c r="D484" s="62" t="s">
        <v>32</v>
      </c>
      <c r="E484" s="50">
        <v>230000</v>
      </c>
      <c r="F484" s="50">
        <f>F499+F513</f>
        <v>165000</v>
      </c>
      <c r="G484" s="19"/>
      <c r="H484" s="26">
        <f t="shared" si="16"/>
        <v>-65000</v>
      </c>
      <c r="I484" s="111">
        <f t="shared" si="17"/>
        <v>0.71739130434782605</v>
      </c>
    </row>
    <row r="485" spans="1:9" ht="23.25" customHeight="1">
      <c r="A485" s="1"/>
      <c r="B485" s="1"/>
      <c r="C485" s="48" t="s">
        <v>33</v>
      </c>
      <c r="D485" s="62" t="s">
        <v>34</v>
      </c>
      <c r="E485" s="50">
        <v>356000</v>
      </c>
      <c r="F485" s="50">
        <f>F500+F514</f>
        <v>120000</v>
      </c>
      <c r="G485" s="19"/>
      <c r="H485" s="26">
        <f t="shared" si="16"/>
        <v>-236000</v>
      </c>
      <c r="I485" s="111">
        <f t="shared" si="17"/>
        <v>0.33707865168539325</v>
      </c>
    </row>
    <row r="486" spans="1:9" ht="23.25" customHeight="1">
      <c r="A486" s="1"/>
      <c r="B486" s="1"/>
      <c r="C486" s="48">
        <v>3110</v>
      </c>
      <c r="D486" s="62" t="s">
        <v>37</v>
      </c>
      <c r="E486" s="50"/>
      <c r="F486" s="51">
        <v>100000</v>
      </c>
      <c r="G486" s="19"/>
      <c r="H486" s="26">
        <f t="shared" si="16"/>
        <v>100000</v>
      </c>
      <c r="I486" s="111"/>
    </row>
    <row r="487" spans="1:9" ht="27.75" hidden="1" customHeight="1">
      <c r="A487" s="1"/>
      <c r="B487" s="1"/>
      <c r="C487" s="44" t="s">
        <v>139</v>
      </c>
      <c r="D487" s="45" t="s">
        <v>141</v>
      </c>
      <c r="E487" s="50"/>
      <c r="F487" s="47">
        <f>F488+F489+F490+F491+F492+F493+F494+F495+F496+F497+F498+F499+F500</f>
        <v>4554362</v>
      </c>
      <c r="G487" s="19"/>
      <c r="H487" s="26">
        <f t="shared" si="16"/>
        <v>4554362</v>
      </c>
      <c r="I487" s="111" t="e">
        <f t="shared" si="17"/>
        <v>#DIV/0!</v>
      </c>
    </row>
    <row r="488" spans="1:9" ht="12.75" hidden="1" customHeight="1">
      <c r="A488" s="1"/>
      <c r="B488" s="1"/>
      <c r="C488" s="48">
        <v>2111</v>
      </c>
      <c r="D488" s="62" t="s">
        <v>14</v>
      </c>
      <c r="E488" s="50"/>
      <c r="F488" s="51">
        <f>4056300-G488</f>
        <v>3432254</v>
      </c>
      <c r="G488" s="19">
        <v>624046</v>
      </c>
      <c r="H488" s="26">
        <f t="shared" si="16"/>
        <v>3432254</v>
      </c>
      <c r="I488" s="111" t="e">
        <f t="shared" si="17"/>
        <v>#DIV/0!</v>
      </c>
    </row>
    <row r="489" spans="1:9" ht="15" hidden="1" customHeight="1">
      <c r="A489" s="1"/>
      <c r="B489" s="1"/>
      <c r="C489" s="48">
        <v>2120</v>
      </c>
      <c r="D489" s="62" t="s">
        <v>16</v>
      </c>
      <c r="E489" s="50"/>
      <c r="F489" s="51">
        <f>892400-G489</f>
        <v>755108</v>
      </c>
      <c r="G489" s="19">
        <v>137292</v>
      </c>
      <c r="H489" s="26">
        <f t="shared" si="16"/>
        <v>755108</v>
      </c>
      <c r="I489" s="111" t="e">
        <f t="shared" si="17"/>
        <v>#DIV/0!</v>
      </c>
    </row>
    <row r="490" spans="1:9" ht="15" hidden="1" customHeight="1">
      <c r="A490" s="1"/>
      <c r="B490" s="1"/>
      <c r="C490" s="48" t="s">
        <v>17</v>
      </c>
      <c r="D490" s="62" t="s">
        <v>18</v>
      </c>
      <c r="E490" s="50"/>
      <c r="F490" s="51">
        <v>65000</v>
      </c>
      <c r="G490" s="19"/>
      <c r="H490" s="26">
        <f t="shared" si="16"/>
        <v>65000</v>
      </c>
      <c r="I490" s="111" t="e">
        <f t="shared" si="17"/>
        <v>#DIV/0!</v>
      </c>
    </row>
    <row r="491" spans="1:9" ht="15" hidden="1" customHeight="1">
      <c r="A491" s="1"/>
      <c r="B491" s="1"/>
      <c r="C491" s="48" t="s">
        <v>106</v>
      </c>
      <c r="D491" s="62" t="s">
        <v>107</v>
      </c>
      <c r="E491" s="50"/>
      <c r="F491" s="51">
        <v>0</v>
      </c>
      <c r="G491" s="19"/>
      <c r="H491" s="26">
        <f t="shared" si="16"/>
        <v>0</v>
      </c>
      <c r="I491" s="111" t="e">
        <f t="shared" si="17"/>
        <v>#DIV/0!</v>
      </c>
    </row>
    <row r="492" spans="1:9" ht="12.75" hidden="1" customHeight="1">
      <c r="A492" s="1"/>
      <c r="B492" s="1"/>
      <c r="C492" s="48" t="s">
        <v>108</v>
      </c>
      <c r="D492" s="62" t="s">
        <v>109</v>
      </c>
      <c r="E492" s="50"/>
      <c r="F492" s="51">
        <v>0</v>
      </c>
      <c r="G492" s="19"/>
      <c r="H492" s="26">
        <f t="shared" si="16"/>
        <v>0</v>
      </c>
      <c r="I492" s="111" t="e">
        <f t="shared" si="17"/>
        <v>#DIV/0!</v>
      </c>
    </row>
    <row r="493" spans="1:9" ht="12.75" hidden="1" customHeight="1">
      <c r="A493" s="1"/>
      <c r="B493" s="1"/>
      <c r="C493" s="48" t="s">
        <v>19</v>
      </c>
      <c r="D493" s="62" t="s">
        <v>20</v>
      </c>
      <c r="E493" s="50"/>
      <c r="F493" s="51">
        <v>90000</v>
      </c>
      <c r="G493" s="19"/>
      <c r="H493" s="26">
        <f t="shared" si="16"/>
        <v>90000</v>
      </c>
      <c r="I493" s="111" t="e">
        <f t="shared" si="17"/>
        <v>#DIV/0!</v>
      </c>
    </row>
    <row r="494" spans="1:9" ht="15.75" hidden="1" customHeight="1">
      <c r="A494" s="1"/>
      <c r="B494" s="1"/>
      <c r="C494" s="48" t="s">
        <v>21</v>
      </c>
      <c r="D494" s="62" t="s">
        <v>22</v>
      </c>
      <c r="E494" s="50"/>
      <c r="F494" s="51">
        <v>2000</v>
      </c>
      <c r="G494" s="19"/>
      <c r="H494" s="26">
        <f t="shared" si="16"/>
        <v>2000</v>
      </c>
      <c r="I494" s="111" t="e">
        <f t="shared" si="17"/>
        <v>#DIV/0!</v>
      </c>
    </row>
    <row r="495" spans="1:9" ht="14.25" hidden="1" customHeight="1">
      <c r="A495" s="1"/>
      <c r="B495" s="1"/>
      <c r="C495" s="48" t="s">
        <v>23</v>
      </c>
      <c r="D495" s="62" t="s">
        <v>24</v>
      </c>
      <c r="E495" s="50"/>
      <c r="F495" s="51">
        <v>0</v>
      </c>
      <c r="G495" s="19"/>
      <c r="H495" s="26">
        <f t="shared" si="16"/>
        <v>0</v>
      </c>
      <c r="I495" s="111" t="e">
        <f t="shared" si="17"/>
        <v>#DIV/0!</v>
      </c>
    </row>
    <row r="496" spans="1:9" ht="13.5" hidden="1" customHeight="1">
      <c r="A496" s="1"/>
      <c r="B496" s="1"/>
      <c r="C496" s="48" t="s">
        <v>25</v>
      </c>
      <c r="D496" s="62" t="s">
        <v>26</v>
      </c>
      <c r="E496" s="50"/>
      <c r="F496" s="51">
        <v>10000</v>
      </c>
      <c r="G496" s="19"/>
      <c r="H496" s="26">
        <f t="shared" si="16"/>
        <v>10000</v>
      </c>
      <c r="I496" s="111" t="e">
        <f t="shared" si="17"/>
        <v>#DIV/0!</v>
      </c>
    </row>
    <row r="497" spans="1:17" ht="12" hidden="1" customHeight="1">
      <c r="A497" s="1"/>
      <c r="B497" s="1"/>
      <c r="C497" s="48" t="s">
        <v>27</v>
      </c>
      <c r="D497" s="62" t="s">
        <v>28</v>
      </c>
      <c r="E497" s="50"/>
      <c r="F497" s="51">
        <v>40000</v>
      </c>
      <c r="G497" s="19"/>
      <c r="H497" s="26">
        <f t="shared" si="16"/>
        <v>40000</v>
      </c>
      <c r="I497" s="111" t="e">
        <f t="shared" si="17"/>
        <v>#DIV/0!</v>
      </c>
    </row>
    <row r="498" spans="1:17" ht="12" hidden="1" customHeight="1">
      <c r="A498" s="1"/>
      <c r="B498" s="1"/>
      <c r="C498" s="48" t="s">
        <v>29</v>
      </c>
      <c r="D498" s="62" t="s">
        <v>30</v>
      </c>
      <c r="E498" s="50"/>
      <c r="F498" s="51">
        <v>0</v>
      </c>
      <c r="G498" s="19"/>
      <c r="H498" s="26">
        <f t="shared" si="16"/>
        <v>0</v>
      </c>
      <c r="I498" s="111" t="e">
        <f t="shared" si="17"/>
        <v>#DIV/0!</v>
      </c>
    </row>
    <row r="499" spans="1:17" ht="15" hidden="1" customHeight="1">
      <c r="A499" s="1"/>
      <c r="B499" s="1"/>
      <c r="C499" s="48" t="s">
        <v>31</v>
      </c>
      <c r="D499" s="62" t="s">
        <v>32</v>
      </c>
      <c r="E499" s="50"/>
      <c r="F499" s="51">
        <v>140000</v>
      </c>
      <c r="G499" s="19"/>
      <c r="H499" s="26">
        <f t="shared" si="16"/>
        <v>140000</v>
      </c>
      <c r="I499" s="111" t="e">
        <f t="shared" si="17"/>
        <v>#DIV/0!</v>
      </c>
    </row>
    <row r="500" spans="1:17" ht="31.5" hidden="1" customHeight="1">
      <c r="A500" s="1"/>
      <c r="B500" s="1"/>
      <c r="C500" s="48" t="s">
        <v>33</v>
      </c>
      <c r="D500" s="62" t="s">
        <v>34</v>
      </c>
      <c r="E500" s="50"/>
      <c r="F500" s="51">
        <v>20000</v>
      </c>
      <c r="G500" s="19"/>
      <c r="H500" s="26">
        <f t="shared" si="16"/>
        <v>20000</v>
      </c>
      <c r="I500" s="111" t="e">
        <f t="shared" si="17"/>
        <v>#DIV/0!</v>
      </c>
    </row>
    <row r="501" spans="1:17" ht="21" hidden="1" customHeight="1">
      <c r="A501" s="1"/>
      <c r="B501" s="1"/>
      <c r="C501" s="44" t="s">
        <v>139</v>
      </c>
      <c r="D501" s="45" t="s">
        <v>142</v>
      </c>
      <c r="E501" s="50"/>
      <c r="F501" s="47">
        <f>F502+F503+F504+F505+F506+F507+F508+F509+F510+F511+F512+F513+F514+F515</f>
        <v>9711900</v>
      </c>
      <c r="G501" s="19"/>
      <c r="H501" s="26">
        <f t="shared" si="16"/>
        <v>9711900</v>
      </c>
      <c r="I501" s="111" t="e">
        <f t="shared" si="17"/>
        <v>#DIV/0!</v>
      </c>
    </row>
    <row r="502" spans="1:17" ht="12" hidden="1" customHeight="1">
      <c r="A502" s="1"/>
      <c r="B502" s="1"/>
      <c r="C502" s="48">
        <v>2111</v>
      </c>
      <c r="D502" s="62" t="s">
        <v>14</v>
      </c>
      <c r="E502" s="50"/>
      <c r="F502" s="51">
        <f>8346000-G502</f>
        <v>7062000</v>
      </c>
      <c r="G502" s="19">
        <v>1284000</v>
      </c>
      <c r="H502" s="26">
        <f t="shared" si="16"/>
        <v>7062000</v>
      </c>
      <c r="I502" s="111" t="e">
        <f t="shared" si="17"/>
        <v>#DIV/0!</v>
      </c>
    </row>
    <row r="503" spans="1:17" ht="12" hidden="1" customHeight="1">
      <c r="A503" s="1"/>
      <c r="B503" s="1"/>
      <c r="C503" s="48">
        <v>2120</v>
      </c>
      <c r="D503" s="62" t="s">
        <v>16</v>
      </c>
      <c r="E503" s="50"/>
      <c r="F503" s="51">
        <f>1896700-G503</f>
        <v>1604900</v>
      </c>
      <c r="G503" s="19">
        <v>291800</v>
      </c>
      <c r="H503" s="26">
        <f t="shared" si="16"/>
        <v>1604900</v>
      </c>
      <c r="I503" s="111" t="e">
        <f t="shared" si="17"/>
        <v>#DIV/0!</v>
      </c>
    </row>
    <row r="504" spans="1:17" ht="12" hidden="1" customHeight="1">
      <c r="A504" s="1"/>
      <c r="B504" s="1"/>
      <c r="C504" s="48" t="s">
        <v>17</v>
      </c>
      <c r="D504" s="62" t="s">
        <v>18</v>
      </c>
      <c r="E504" s="50"/>
      <c r="F504" s="51">
        <v>300000</v>
      </c>
      <c r="G504" s="19"/>
      <c r="H504" s="26">
        <f t="shared" si="16"/>
        <v>300000</v>
      </c>
      <c r="I504" s="111" t="e">
        <f t="shared" si="17"/>
        <v>#DIV/0!</v>
      </c>
    </row>
    <row r="505" spans="1:17" s="19" customFormat="1" ht="12" hidden="1" customHeight="1">
      <c r="A505" s="1"/>
      <c r="B505" s="1"/>
      <c r="C505" s="48" t="s">
        <v>106</v>
      </c>
      <c r="D505" s="62" t="s">
        <v>107</v>
      </c>
      <c r="E505" s="50"/>
      <c r="F505" s="51">
        <v>0</v>
      </c>
      <c r="H505" s="26">
        <f t="shared" si="16"/>
        <v>0</v>
      </c>
      <c r="I505" s="111" t="e">
        <f t="shared" si="17"/>
        <v>#DIV/0!</v>
      </c>
      <c r="J505"/>
      <c r="K505"/>
      <c r="L505"/>
      <c r="M505"/>
      <c r="N505"/>
      <c r="O505"/>
      <c r="P505"/>
      <c r="Q505"/>
    </row>
    <row r="506" spans="1:17" s="19" customFormat="1" ht="12" hidden="1" customHeight="1">
      <c r="A506" s="1"/>
      <c r="B506" s="1"/>
      <c r="C506" s="48" t="s">
        <v>108</v>
      </c>
      <c r="D506" s="62" t="s">
        <v>109</v>
      </c>
      <c r="E506" s="50"/>
      <c r="F506" s="51">
        <v>0</v>
      </c>
      <c r="H506" s="26">
        <f t="shared" si="16"/>
        <v>0</v>
      </c>
      <c r="I506" s="111" t="e">
        <f t="shared" si="17"/>
        <v>#DIV/0!</v>
      </c>
      <c r="J506"/>
      <c r="K506"/>
      <c r="L506"/>
      <c r="M506"/>
      <c r="N506"/>
      <c r="O506"/>
      <c r="P506"/>
      <c r="Q506"/>
    </row>
    <row r="507" spans="1:17" s="19" customFormat="1" ht="12" hidden="1" customHeight="1">
      <c r="A507" s="1"/>
      <c r="B507" s="1"/>
      <c r="C507" s="48" t="s">
        <v>19</v>
      </c>
      <c r="D507" s="62" t="s">
        <v>20</v>
      </c>
      <c r="E507" s="50"/>
      <c r="F507" s="51">
        <v>200000</v>
      </c>
      <c r="H507" s="26">
        <f t="shared" si="16"/>
        <v>200000</v>
      </c>
      <c r="I507" s="111" t="e">
        <f t="shared" si="17"/>
        <v>#DIV/0!</v>
      </c>
      <c r="J507"/>
      <c r="K507"/>
      <c r="L507"/>
      <c r="M507"/>
      <c r="N507"/>
      <c r="O507"/>
      <c r="P507"/>
      <c r="Q507"/>
    </row>
    <row r="508" spans="1:17" s="19" customFormat="1" ht="12" hidden="1" customHeight="1">
      <c r="A508" s="1"/>
      <c r="B508" s="1"/>
      <c r="C508" s="48" t="s">
        <v>21</v>
      </c>
      <c r="D508" s="62" t="s">
        <v>22</v>
      </c>
      <c r="E508" s="50"/>
      <c r="F508" s="51">
        <v>10000</v>
      </c>
      <c r="H508" s="26">
        <f t="shared" si="16"/>
        <v>10000</v>
      </c>
      <c r="I508" s="111" t="e">
        <f t="shared" si="17"/>
        <v>#DIV/0!</v>
      </c>
      <c r="J508"/>
      <c r="K508"/>
      <c r="L508"/>
      <c r="M508"/>
      <c r="N508"/>
      <c r="O508"/>
      <c r="P508"/>
      <c r="Q508"/>
    </row>
    <row r="509" spans="1:17" s="19" customFormat="1" ht="12" hidden="1" customHeight="1">
      <c r="A509" s="1"/>
      <c r="B509" s="1"/>
      <c r="C509" s="48" t="s">
        <v>23</v>
      </c>
      <c r="D509" s="62" t="s">
        <v>24</v>
      </c>
      <c r="E509" s="50"/>
      <c r="F509" s="51">
        <v>250000</v>
      </c>
      <c r="H509" s="26">
        <f t="shared" si="16"/>
        <v>250000</v>
      </c>
      <c r="I509" s="111" t="e">
        <f t="shared" si="17"/>
        <v>#DIV/0!</v>
      </c>
      <c r="J509"/>
      <c r="K509"/>
      <c r="L509"/>
      <c r="M509"/>
      <c r="N509"/>
      <c r="O509"/>
      <c r="P509"/>
      <c r="Q509"/>
    </row>
    <row r="510" spans="1:17" s="19" customFormat="1" ht="12" hidden="1" customHeight="1">
      <c r="A510" s="1"/>
      <c r="B510" s="1"/>
      <c r="C510" s="48" t="s">
        <v>25</v>
      </c>
      <c r="D510" s="62" t="s">
        <v>26</v>
      </c>
      <c r="E510" s="50"/>
      <c r="F510" s="51">
        <v>30000</v>
      </c>
      <c r="H510" s="26">
        <f t="shared" si="16"/>
        <v>30000</v>
      </c>
      <c r="I510" s="111" t="e">
        <f t="shared" si="17"/>
        <v>#DIV/0!</v>
      </c>
      <c r="J510"/>
      <c r="K510"/>
      <c r="L510"/>
      <c r="M510"/>
      <c r="N510"/>
      <c r="O510"/>
      <c r="P510"/>
      <c r="Q510"/>
    </row>
    <row r="511" spans="1:17" s="19" customFormat="1" ht="12" hidden="1" customHeight="1">
      <c r="A511" s="1"/>
      <c r="B511" s="1"/>
      <c r="C511" s="48" t="s">
        <v>27</v>
      </c>
      <c r="D511" s="62" t="s">
        <v>28</v>
      </c>
      <c r="E511" s="50"/>
      <c r="F511" s="51">
        <v>70000</v>
      </c>
      <c r="H511" s="26">
        <f t="shared" si="16"/>
        <v>70000</v>
      </c>
      <c r="I511" s="111" t="e">
        <f t="shared" si="17"/>
        <v>#DIV/0!</v>
      </c>
      <c r="J511"/>
      <c r="K511"/>
      <c r="L511"/>
      <c r="M511"/>
      <c r="N511"/>
      <c r="O511"/>
      <c r="P511"/>
      <c r="Q511"/>
    </row>
    <row r="512" spans="1:17" s="19" customFormat="1" ht="12" hidden="1" customHeight="1">
      <c r="A512" s="1"/>
      <c r="B512" s="1"/>
      <c r="C512" s="48" t="s">
        <v>29</v>
      </c>
      <c r="D512" s="62" t="s">
        <v>30</v>
      </c>
      <c r="E512" s="50"/>
      <c r="F512" s="51">
        <v>0</v>
      </c>
      <c r="H512" s="26">
        <f t="shared" si="16"/>
        <v>0</v>
      </c>
      <c r="I512" s="111" t="e">
        <f t="shared" si="17"/>
        <v>#DIV/0!</v>
      </c>
      <c r="J512"/>
      <c r="K512"/>
      <c r="L512"/>
      <c r="M512"/>
      <c r="N512"/>
      <c r="O512"/>
      <c r="P512"/>
      <c r="Q512"/>
    </row>
    <row r="513" spans="1:17" s="19" customFormat="1" ht="18" hidden="1" customHeight="1">
      <c r="A513" s="1"/>
      <c r="B513" s="1"/>
      <c r="C513" s="48" t="s">
        <v>31</v>
      </c>
      <c r="D513" s="62" t="s">
        <v>32</v>
      </c>
      <c r="E513" s="50"/>
      <c r="F513" s="51">
        <v>25000</v>
      </c>
      <c r="H513" s="26">
        <f t="shared" si="16"/>
        <v>25000</v>
      </c>
      <c r="I513" s="111" t="e">
        <f t="shared" si="17"/>
        <v>#DIV/0!</v>
      </c>
      <c r="J513"/>
      <c r="K513"/>
      <c r="L513"/>
      <c r="M513"/>
      <c r="N513"/>
      <c r="O513"/>
      <c r="P513"/>
      <c r="Q513"/>
    </row>
    <row r="514" spans="1:17" s="19" customFormat="1" ht="27.75" hidden="1" customHeight="1">
      <c r="A514" s="1"/>
      <c r="B514" s="1"/>
      <c r="C514" s="48" t="s">
        <v>33</v>
      </c>
      <c r="D514" s="62" t="s">
        <v>34</v>
      </c>
      <c r="E514" s="50"/>
      <c r="F514" s="51">
        <v>100000</v>
      </c>
      <c r="H514" s="26">
        <f t="shared" si="16"/>
        <v>100000</v>
      </c>
      <c r="I514" s="111" t="e">
        <f t="shared" si="17"/>
        <v>#DIV/0!</v>
      </c>
      <c r="J514"/>
      <c r="K514"/>
      <c r="L514"/>
      <c r="M514"/>
      <c r="N514"/>
      <c r="O514"/>
      <c r="P514"/>
      <c r="Q514"/>
    </row>
    <row r="515" spans="1:17" s="19" customFormat="1" ht="27.75" hidden="1" customHeight="1">
      <c r="A515" s="1"/>
      <c r="B515" s="1"/>
      <c r="C515" s="48">
        <v>3110</v>
      </c>
      <c r="D515" s="62" t="s">
        <v>37</v>
      </c>
      <c r="E515" s="50"/>
      <c r="F515" s="51">
        <v>60000</v>
      </c>
      <c r="H515" s="26">
        <f t="shared" si="16"/>
        <v>60000</v>
      </c>
      <c r="I515" s="111" t="e">
        <f t="shared" si="17"/>
        <v>#DIV/0!</v>
      </c>
      <c r="J515"/>
      <c r="K515"/>
      <c r="L515"/>
      <c r="M515"/>
      <c r="N515"/>
      <c r="O515"/>
      <c r="P515"/>
      <c r="Q515"/>
    </row>
    <row r="516" spans="1:17" s="19" customFormat="1" ht="24.75" customHeight="1">
      <c r="A516" s="1"/>
      <c r="B516" s="1"/>
      <c r="C516" s="44" t="s">
        <v>143</v>
      </c>
      <c r="D516" s="45" t="s">
        <v>144</v>
      </c>
      <c r="E516" s="46">
        <v>498553</v>
      </c>
      <c r="F516" s="47">
        <f>F517+F518+F519+F520</f>
        <v>3164866</v>
      </c>
      <c r="H516" s="18">
        <f t="shared" si="16"/>
        <v>2666313</v>
      </c>
      <c r="I516" s="110">
        <f t="shared" si="17"/>
        <v>6.3481034112722217</v>
      </c>
      <c r="J516"/>
      <c r="K516"/>
      <c r="L516"/>
      <c r="M516"/>
      <c r="N516"/>
      <c r="O516"/>
      <c r="P516"/>
      <c r="Q516"/>
    </row>
    <row r="517" spans="1:17" s="19" customFormat="1" ht="12" customHeight="1">
      <c r="A517" s="1"/>
      <c r="B517" s="1"/>
      <c r="C517" s="48" t="s">
        <v>13</v>
      </c>
      <c r="D517" s="62" t="s">
        <v>14</v>
      </c>
      <c r="E517" s="50">
        <v>326683</v>
      </c>
      <c r="F517" s="51">
        <v>2430216</v>
      </c>
      <c r="H517" s="26">
        <f t="shared" si="16"/>
        <v>2103533</v>
      </c>
      <c r="I517" s="111">
        <f t="shared" si="17"/>
        <v>7.439064781454805</v>
      </c>
      <c r="J517"/>
      <c r="K517"/>
      <c r="L517"/>
      <c r="M517"/>
      <c r="N517"/>
      <c r="O517"/>
      <c r="P517"/>
      <c r="Q517"/>
    </row>
    <row r="518" spans="1:17" s="19" customFormat="1" ht="12" customHeight="1">
      <c r="A518" s="1"/>
      <c r="B518" s="1"/>
      <c r="C518" s="48" t="s">
        <v>15</v>
      </c>
      <c r="D518" s="62" t="s">
        <v>16</v>
      </c>
      <c r="E518" s="50">
        <v>71870</v>
      </c>
      <c r="F518" s="51">
        <v>534650</v>
      </c>
      <c r="H518" s="26">
        <f t="shared" si="16"/>
        <v>462780</v>
      </c>
      <c r="I518" s="111">
        <f t="shared" si="17"/>
        <v>7.4391262000834839</v>
      </c>
      <c r="J518"/>
      <c r="K518"/>
      <c r="L518"/>
      <c r="M518"/>
      <c r="N518"/>
      <c r="O518"/>
      <c r="P518"/>
      <c r="Q518"/>
    </row>
    <row r="519" spans="1:17" s="19" customFormat="1" ht="12" customHeight="1">
      <c r="A519" s="1"/>
      <c r="B519" s="1"/>
      <c r="C519" s="48" t="s">
        <v>17</v>
      </c>
      <c r="D519" s="62" t="s">
        <v>18</v>
      </c>
      <c r="E519" s="50">
        <v>50000</v>
      </c>
      <c r="F519" s="51">
        <v>100000</v>
      </c>
      <c r="H519" s="26">
        <f t="shared" si="16"/>
        <v>50000</v>
      </c>
      <c r="I519" s="111">
        <f t="shared" si="17"/>
        <v>2</v>
      </c>
      <c r="J519"/>
      <c r="K519"/>
      <c r="L519"/>
      <c r="M519"/>
      <c r="N519"/>
      <c r="O519"/>
      <c r="P519"/>
      <c r="Q519"/>
    </row>
    <row r="520" spans="1:17" s="19" customFormat="1" ht="12" customHeight="1">
      <c r="A520" s="1"/>
      <c r="B520" s="1"/>
      <c r="C520" s="48" t="s">
        <v>19</v>
      </c>
      <c r="D520" s="62" t="s">
        <v>20</v>
      </c>
      <c r="E520" s="50">
        <v>50000</v>
      </c>
      <c r="F520" s="51">
        <v>100000</v>
      </c>
      <c r="H520" s="26">
        <f t="shared" si="16"/>
        <v>50000</v>
      </c>
      <c r="I520" s="111">
        <f t="shared" si="17"/>
        <v>2</v>
      </c>
      <c r="J520"/>
      <c r="K520"/>
      <c r="L520"/>
      <c r="M520"/>
      <c r="N520"/>
      <c r="O520"/>
      <c r="P520"/>
      <c r="Q520"/>
    </row>
    <row r="521" spans="1:17" ht="20.100000000000001" customHeight="1">
      <c r="A521" s="1"/>
      <c r="B521" s="1"/>
      <c r="C521" s="44" t="s">
        <v>145</v>
      </c>
      <c r="D521" s="45" t="s">
        <v>146</v>
      </c>
      <c r="E521" s="46">
        <v>9001647</v>
      </c>
      <c r="F521" s="47">
        <f>F522+F534+F530+F532+F543+F545+F548+F550+F552</f>
        <v>15738165</v>
      </c>
      <c r="G521" s="19"/>
      <c r="H521" s="18">
        <f t="shared" si="16"/>
        <v>6736518</v>
      </c>
      <c r="I521" s="110">
        <f t="shared" si="17"/>
        <v>1.7483650491959972</v>
      </c>
    </row>
    <row r="522" spans="1:17" ht="28.5" customHeight="1">
      <c r="A522" s="1"/>
      <c r="B522" s="1"/>
      <c r="C522" s="44" t="s">
        <v>147</v>
      </c>
      <c r="D522" s="45" t="s">
        <v>12</v>
      </c>
      <c r="E522" s="46">
        <v>2191164</v>
      </c>
      <c r="F522" s="47">
        <f>F523+F524+F525+F526+F527+F528+F529</f>
        <v>3048384</v>
      </c>
      <c r="G522" s="19"/>
      <c r="H522" s="18">
        <f t="shared" ref="H522:H585" si="18">F522-E522</f>
        <v>857220</v>
      </c>
      <c r="I522" s="110">
        <f t="shared" ref="I522:I585" si="19">F522/E522</f>
        <v>1.3912167231663171</v>
      </c>
    </row>
    <row r="523" spans="1:17" ht="12" customHeight="1">
      <c r="A523" s="1"/>
      <c r="B523" s="1"/>
      <c r="C523" s="48" t="s">
        <v>13</v>
      </c>
      <c r="D523" s="62" t="s">
        <v>14</v>
      </c>
      <c r="E523" s="50">
        <v>1653823</v>
      </c>
      <c r="F523" s="51">
        <v>2374904</v>
      </c>
      <c r="G523" s="19"/>
      <c r="H523" s="26">
        <f t="shared" si="18"/>
        <v>721081</v>
      </c>
      <c r="I523" s="111">
        <f t="shared" si="19"/>
        <v>1.4360085692362483</v>
      </c>
      <c r="J523" s="27"/>
    </row>
    <row r="524" spans="1:17" ht="12" customHeight="1">
      <c r="A524" s="1"/>
      <c r="B524" s="1"/>
      <c r="C524" s="48" t="s">
        <v>15</v>
      </c>
      <c r="D524" s="62" t="s">
        <v>16</v>
      </c>
      <c r="E524" s="50">
        <v>367841</v>
      </c>
      <c r="F524" s="51">
        <v>522480</v>
      </c>
      <c r="G524" s="19"/>
      <c r="H524" s="26">
        <f t="shared" si="18"/>
        <v>154639</v>
      </c>
      <c r="I524" s="111">
        <f t="shared" si="19"/>
        <v>1.4203963125372103</v>
      </c>
      <c r="J524" s="27"/>
    </row>
    <row r="525" spans="1:17" ht="12" customHeight="1">
      <c r="A525" s="1"/>
      <c r="B525" s="1"/>
      <c r="C525" s="48" t="s">
        <v>17</v>
      </c>
      <c r="D525" s="62" t="s">
        <v>18</v>
      </c>
      <c r="E525" s="50">
        <v>119500</v>
      </c>
      <c r="F525" s="51">
        <v>80000</v>
      </c>
      <c r="G525" s="19"/>
      <c r="H525" s="26">
        <f t="shared" si="18"/>
        <v>-39500</v>
      </c>
      <c r="I525" s="111">
        <f t="shared" si="19"/>
        <v>0.66945606694560666</v>
      </c>
      <c r="J525" s="27"/>
    </row>
    <row r="526" spans="1:17" ht="12" customHeight="1">
      <c r="A526" s="1"/>
      <c r="B526" s="1"/>
      <c r="C526" s="48" t="s">
        <v>19</v>
      </c>
      <c r="D526" s="62" t="s">
        <v>20</v>
      </c>
      <c r="E526" s="50">
        <v>50000</v>
      </c>
      <c r="F526" s="51">
        <v>50000</v>
      </c>
      <c r="G526" s="19"/>
      <c r="H526" s="26">
        <f t="shared" si="18"/>
        <v>0</v>
      </c>
      <c r="I526" s="111">
        <f t="shared" si="19"/>
        <v>1</v>
      </c>
      <c r="J526" s="27"/>
    </row>
    <row r="527" spans="1:17" ht="12" customHeight="1">
      <c r="A527" s="1"/>
      <c r="B527" s="1"/>
      <c r="C527" s="48">
        <v>2250</v>
      </c>
      <c r="D527" s="82" t="s">
        <v>22</v>
      </c>
      <c r="E527" s="50"/>
      <c r="F527" s="51">
        <v>6000</v>
      </c>
      <c r="G527" s="19"/>
      <c r="H527" s="26">
        <f t="shared" si="18"/>
        <v>6000</v>
      </c>
      <c r="I527" s="111"/>
      <c r="J527" s="27"/>
    </row>
    <row r="528" spans="1:17" ht="18" customHeight="1">
      <c r="A528" s="1"/>
      <c r="B528" s="1"/>
      <c r="C528" s="83">
        <v>2282</v>
      </c>
      <c r="D528" s="84" t="s">
        <v>34</v>
      </c>
      <c r="E528" s="85"/>
      <c r="F528" s="51">
        <v>12000</v>
      </c>
      <c r="G528" s="19"/>
      <c r="H528" s="26">
        <f t="shared" si="18"/>
        <v>12000</v>
      </c>
      <c r="I528" s="111"/>
      <c r="J528" s="27"/>
    </row>
    <row r="529" spans="1:10" ht="12" customHeight="1">
      <c r="A529" s="1"/>
      <c r="B529" s="1"/>
      <c r="C529" s="48">
        <v>2800</v>
      </c>
      <c r="D529" s="86" t="s">
        <v>36</v>
      </c>
      <c r="E529" s="85"/>
      <c r="F529" s="51">
        <v>3000</v>
      </c>
      <c r="G529" s="19"/>
      <c r="H529" s="26">
        <f t="shared" si="18"/>
        <v>3000</v>
      </c>
      <c r="I529" s="111"/>
      <c r="J529" s="27"/>
    </row>
    <row r="530" spans="1:10" ht="21" customHeight="1">
      <c r="A530" s="1"/>
      <c r="B530" s="1"/>
      <c r="C530" s="87">
        <v>813032</v>
      </c>
      <c r="D530" s="88" t="s">
        <v>148</v>
      </c>
      <c r="E530" s="50"/>
      <c r="F530" s="47">
        <f>F531</f>
        <v>15000</v>
      </c>
      <c r="G530" s="19"/>
      <c r="H530" s="18">
        <f t="shared" si="18"/>
        <v>15000</v>
      </c>
      <c r="I530" s="111"/>
    </row>
    <row r="531" spans="1:10" ht="12" customHeight="1">
      <c r="A531" s="1"/>
      <c r="B531" s="1"/>
      <c r="C531" s="48">
        <v>2730</v>
      </c>
      <c r="D531" s="62" t="s">
        <v>149</v>
      </c>
      <c r="E531" s="50"/>
      <c r="F531" s="51">
        <v>15000</v>
      </c>
      <c r="G531" s="19"/>
      <c r="H531" s="26">
        <f t="shared" si="18"/>
        <v>15000</v>
      </c>
      <c r="I531" s="111"/>
    </row>
    <row r="532" spans="1:10" ht="18" customHeight="1">
      <c r="A532" s="1"/>
      <c r="B532" s="1"/>
      <c r="C532" s="44">
        <v>813035</v>
      </c>
      <c r="D532" s="88" t="s">
        <v>150</v>
      </c>
      <c r="E532" s="50"/>
      <c r="F532" s="47">
        <f>F533</f>
        <v>2000000</v>
      </c>
      <c r="G532" s="19"/>
      <c r="H532" s="18">
        <f t="shared" si="18"/>
        <v>2000000</v>
      </c>
      <c r="I532" s="111"/>
    </row>
    <row r="533" spans="1:10" ht="22.5" customHeight="1">
      <c r="A533" s="1"/>
      <c r="B533" s="1"/>
      <c r="C533" s="48">
        <v>2610</v>
      </c>
      <c r="D533" s="62" t="s">
        <v>137</v>
      </c>
      <c r="E533" s="50"/>
      <c r="F533" s="51">
        <v>2000000</v>
      </c>
      <c r="G533" s="19"/>
      <c r="H533" s="26">
        <f t="shared" si="18"/>
        <v>2000000</v>
      </c>
      <c r="I533" s="111"/>
    </row>
    <row r="534" spans="1:10" ht="21.75" customHeight="1">
      <c r="A534" s="1"/>
      <c r="B534" s="1"/>
      <c r="C534" s="44" t="s">
        <v>151</v>
      </c>
      <c r="D534" s="45" t="s">
        <v>152</v>
      </c>
      <c r="E534" s="46">
        <v>3099677</v>
      </c>
      <c r="F534" s="47">
        <f>F535+F536+F537+F538+F540+F539+F541+F542</f>
        <v>6575981</v>
      </c>
      <c r="G534" s="19"/>
      <c r="H534" s="18">
        <f t="shared" si="18"/>
        <v>3476304</v>
      </c>
      <c r="I534" s="110">
        <f t="shared" si="19"/>
        <v>2.121505240707338</v>
      </c>
    </row>
    <row r="535" spans="1:10" ht="12" customHeight="1">
      <c r="A535" s="1"/>
      <c r="B535" s="1"/>
      <c r="C535" s="48" t="s">
        <v>13</v>
      </c>
      <c r="D535" s="62" t="s">
        <v>14</v>
      </c>
      <c r="E535" s="50">
        <v>2450555</v>
      </c>
      <c r="F535" s="51">
        <v>4961131</v>
      </c>
      <c r="G535" s="19"/>
      <c r="H535" s="26">
        <f t="shared" si="18"/>
        <v>2510576</v>
      </c>
      <c r="I535" s="111">
        <f t="shared" si="19"/>
        <v>2.0244928189736613</v>
      </c>
      <c r="J535" s="27"/>
    </row>
    <row r="536" spans="1:10" ht="12" customHeight="1">
      <c r="A536" s="1"/>
      <c r="B536" s="1"/>
      <c r="C536" s="48" t="s">
        <v>15</v>
      </c>
      <c r="D536" s="62" t="s">
        <v>16</v>
      </c>
      <c r="E536" s="50">
        <v>539122</v>
      </c>
      <c r="F536" s="51">
        <v>1091450</v>
      </c>
      <c r="G536" s="19"/>
      <c r="H536" s="26">
        <f t="shared" si="18"/>
        <v>552328</v>
      </c>
      <c r="I536" s="111">
        <f t="shared" si="19"/>
        <v>2.0244953832342216</v>
      </c>
      <c r="J536" s="27"/>
    </row>
    <row r="537" spans="1:10" ht="12.75" customHeight="1">
      <c r="A537" s="1"/>
      <c r="B537" s="1"/>
      <c r="C537" s="48" t="s">
        <v>17</v>
      </c>
      <c r="D537" s="62" t="s">
        <v>18</v>
      </c>
      <c r="E537" s="50">
        <v>50000</v>
      </c>
      <c r="F537" s="51">
        <v>200000</v>
      </c>
      <c r="G537" s="19"/>
      <c r="H537" s="26">
        <f t="shared" si="18"/>
        <v>150000</v>
      </c>
      <c r="I537" s="111">
        <f t="shared" si="19"/>
        <v>4</v>
      </c>
      <c r="J537" s="27"/>
    </row>
    <row r="538" spans="1:10" ht="12" customHeight="1">
      <c r="A538" s="1"/>
      <c r="B538" s="1"/>
      <c r="C538" s="48" t="s">
        <v>19</v>
      </c>
      <c r="D538" s="62" t="s">
        <v>20</v>
      </c>
      <c r="E538" s="50">
        <v>48000</v>
      </c>
      <c r="F538" s="51">
        <v>65000</v>
      </c>
      <c r="G538" s="19"/>
      <c r="H538" s="26">
        <f t="shared" si="18"/>
        <v>17000</v>
      </c>
      <c r="I538" s="111">
        <f t="shared" si="19"/>
        <v>1.3541666666666667</v>
      </c>
      <c r="J538" s="27"/>
    </row>
    <row r="539" spans="1:10" ht="12" customHeight="1">
      <c r="A539" s="1"/>
      <c r="B539" s="1"/>
      <c r="C539" s="48">
        <v>2272</v>
      </c>
      <c r="D539" s="62" t="s">
        <v>153</v>
      </c>
      <c r="E539" s="50"/>
      <c r="F539" s="51">
        <v>16000</v>
      </c>
      <c r="G539" s="19"/>
      <c r="H539" s="26">
        <f t="shared" si="18"/>
        <v>16000</v>
      </c>
      <c r="I539" s="111"/>
      <c r="J539" s="27"/>
    </row>
    <row r="540" spans="1:10" ht="12" customHeight="1">
      <c r="A540" s="1"/>
      <c r="B540" s="1"/>
      <c r="C540" s="48" t="s">
        <v>27</v>
      </c>
      <c r="D540" s="62" t="s">
        <v>28</v>
      </c>
      <c r="E540" s="50">
        <v>8000</v>
      </c>
      <c r="F540" s="51">
        <v>150000</v>
      </c>
      <c r="G540" s="19"/>
      <c r="H540" s="26">
        <f t="shared" si="18"/>
        <v>142000</v>
      </c>
      <c r="I540" s="111">
        <f t="shared" si="19"/>
        <v>18.75</v>
      </c>
    </row>
    <row r="541" spans="1:10" ht="15.75" customHeight="1">
      <c r="A541" s="1"/>
      <c r="B541" s="89"/>
      <c r="C541" s="48" t="s">
        <v>31</v>
      </c>
      <c r="D541" s="49" t="s">
        <v>154</v>
      </c>
      <c r="E541" s="50">
        <v>4000</v>
      </c>
      <c r="F541" s="51">
        <v>2400</v>
      </c>
      <c r="G541" s="19"/>
      <c r="H541" s="26">
        <f t="shared" si="18"/>
        <v>-1600</v>
      </c>
      <c r="I541" s="111">
        <f t="shared" si="19"/>
        <v>0.6</v>
      </c>
    </row>
    <row r="542" spans="1:10" ht="15" customHeight="1">
      <c r="A542" s="1"/>
      <c r="B542" s="89"/>
      <c r="C542" s="48">
        <v>3110</v>
      </c>
      <c r="D542" s="90" t="s">
        <v>155</v>
      </c>
      <c r="E542" s="85"/>
      <c r="F542" s="51">
        <v>90000</v>
      </c>
      <c r="G542" s="19"/>
      <c r="H542" s="26">
        <f t="shared" si="18"/>
        <v>90000</v>
      </c>
      <c r="I542" s="111"/>
    </row>
    <row r="543" spans="1:10" ht="26.25" customHeight="1">
      <c r="A543" s="1"/>
      <c r="B543" s="89"/>
      <c r="C543" s="44">
        <v>813122</v>
      </c>
      <c r="D543" s="45" t="s">
        <v>156</v>
      </c>
      <c r="E543" s="50"/>
      <c r="F543" s="47">
        <f>F544</f>
        <v>57000</v>
      </c>
      <c r="G543" s="19"/>
      <c r="H543" s="18">
        <f t="shared" si="18"/>
        <v>57000</v>
      </c>
      <c r="I543" s="111"/>
    </row>
    <row r="544" spans="1:10" ht="23.25" customHeight="1">
      <c r="A544" s="1"/>
      <c r="B544" s="89"/>
      <c r="C544" s="48">
        <v>2282</v>
      </c>
      <c r="D544" s="62" t="s">
        <v>34</v>
      </c>
      <c r="E544" s="50"/>
      <c r="F544" s="51">
        <v>57000</v>
      </c>
      <c r="G544" s="19"/>
      <c r="H544" s="26">
        <f t="shared" si="18"/>
        <v>57000</v>
      </c>
      <c r="I544" s="111"/>
    </row>
    <row r="545" spans="1:9" ht="16.5" hidden="1" customHeight="1">
      <c r="A545" s="1"/>
      <c r="B545" s="89"/>
      <c r="C545" s="91">
        <v>813123</v>
      </c>
      <c r="D545" s="92" t="s">
        <v>157</v>
      </c>
      <c r="E545" s="50"/>
      <c r="F545" s="47">
        <f>F547+F546</f>
        <v>0</v>
      </c>
      <c r="G545" s="19"/>
      <c r="H545" s="26">
        <f t="shared" si="18"/>
        <v>0</v>
      </c>
      <c r="I545" s="111"/>
    </row>
    <row r="546" spans="1:9" ht="12" hidden="1" customHeight="1">
      <c r="A546" s="1"/>
      <c r="B546" s="89"/>
      <c r="C546" s="48">
        <v>2210</v>
      </c>
      <c r="D546" s="93" t="s">
        <v>18</v>
      </c>
      <c r="E546" s="50"/>
      <c r="F546" s="51">
        <v>0</v>
      </c>
      <c r="G546" s="19"/>
      <c r="H546" s="26">
        <f t="shared" si="18"/>
        <v>0</v>
      </c>
      <c r="I546" s="111"/>
    </row>
    <row r="547" spans="1:9" ht="11.25" hidden="1" customHeight="1">
      <c r="A547" s="1"/>
      <c r="B547" s="89"/>
      <c r="C547" s="48">
        <v>2240</v>
      </c>
      <c r="D547" s="62" t="s">
        <v>20</v>
      </c>
      <c r="E547" s="50"/>
      <c r="F547" s="51">
        <v>0</v>
      </c>
      <c r="G547" s="19"/>
      <c r="H547" s="26">
        <f t="shared" si="18"/>
        <v>0</v>
      </c>
      <c r="I547" s="111"/>
    </row>
    <row r="548" spans="1:9" ht="18.75" customHeight="1">
      <c r="A548" s="1"/>
      <c r="B548" s="1"/>
      <c r="C548" s="44" t="s">
        <v>158</v>
      </c>
      <c r="D548" s="45" t="s">
        <v>159</v>
      </c>
      <c r="E548" s="46">
        <v>200000</v>
      </c>
      <c r="F548" s="47">
        <f>F549</f>
        <v>350000</v>
      </c>
      <c r="G548" s="19"/>
      <c r="H548" s="18">
        <f t="shared" si="18"/>
        <v>150000</v>
      </c>
      <c r="I548" s="110">
        <f t="shared" si="19"/>
        <v>1.75</v>
      </c>
    </row>
    <row r="549" spans="1:9" ht="15" customHeight="1">
      <c r="A549" s="1"/>
      <c r="B549" s="1"/>
      <c r="C549" s="48" t="s">
        <v>160</v>
      </c>
      <c r="D549" s="62" t="s">
        <v>149</v>
      </c>
      <c r="E549" s="50">
        <v>200000</v>
      </c>
      <c r="F549" s="51">
        <v>350000</v>
      </c>
      <c r="G549" s="19"/>
      <c r="H549" s="26">
        <f t="shared" si="18"/>
        <v>150000</v>
      </c>
      <c r="I549" s="111">
        <f t="shared" si="19"/>
        <v>1.75</v>
      </c>
    </row>
    <row r="550" spans="1:9" ht="16.5" customHeight="1">
      <c r="A550" s="1"/>
      <c r="B550" s="1"/>
      <c r="C550" s="94" t="s">
        <v>161</v>
      </c>
      <c r="D550" s="45" t="s">
        <v>162</v>
      </c>
      <c r="E550" s="50"/>
      <c r="F550" s="47">
        <f>F551</f>
        <v>120000</v>
      </c>
      <c r="G550" s="19"/>
      <c r="H550" s="18">
        <f t="shared" si="18"/>
        <v>120000</v>
      </c>
      <c r="I550" s="111"/>
    </row>
    <row r="551" spans="1:9" ht="21" customHeight="1">
      <c r="A551" s="1"/>
      <c r="B551" s="1"/>
      <c r="C551" s="48">
        <v>2282</v>
      </c>
      <c r="D551" s="62" t="s">
        <v>34</v>
      </c>
      <c r="E551" s="50"/>
      <c r="F551" s="51">
        <v>120000</v>
      </c>
      <c r="G551" s="19"/>
      <c r="H551" s="26">
        <f t="shared" si="18"/>
        <v>120000</v>
      </c>
      <c r="I551" s="111"/>
    </row>
    <row r="552" spans="1:9" ht="20.100000000000001" customHeight="1">
      <c r="A552" s="1"/>
      <c r="B552" s="1"/>
      <c r="C552" s="44" t="s">
        <v>163</v>
      </c>
      <c r="D552" s="45" t="s">
        <v>164</v>
      </c>
      <c r="E552" s="46">
        <v>100000</v>
      </c>
      <c r="F552" s="47">
        <f>F553</f>
        <v>3571800</v>
      </c>
      <c r="G552" s="19"/>
      <c r="H552" s="18">
        <f t="shared" si="18"/>
        <v>3471800</v>
      </c>
      <c r="I552" s="110">
        <f t="shared" si="19"/>
        <v>35.718000000000004</v>
      </c>
    </row>
    <row r="553" spans="1:9" ht="12" customHeight="1">
      <c r="A553" s="1"/>
      <c r="B553" s="1"/>
      <c r="C553" s="48" t="s">
        <v>160</v>
      </c>
      <c r="D553" s="62" t="s">
        <v>149</v>
      </c>
      <c r="E553" s="50">
        <v>100000</v>
      </c>
      <c r="F553" s="51">
        <v>3571800</v>
      </c>
      <c r="G553" s="19"/>
      <c r="H553" s="26">
        <f t="shared" si="18"/>
        <v>3471800</v>
      </c>
      <c r="I553" s="111">
        <f t="shared" si="19"/>
        <v>35.718000000000004</v>
      </c>
    </row>
    <row r="554" spans="1:9" ht="14.25" customHeight="1">
      <c r="A554" s="1"/>
      <c r="B554" s="1"/>
      <c r="C554" s="44" t="s">
        <v>165</v>
      </c>
      <c r="D554" s="45" t="s">
        <v>166</v>
      </c>
      <c r="E554" s="46">
        <v>1103900</v>
      </c>
      <c r="F554" s="47">
        <f>F555+F563+F561</f>
        <v>3756679</v>
      </c>
      <c r="G554" s="19"/>
      <c r="H554" s="18">
        <f t="shared" si="18"/>
        <v>2652779</v>
      </c>
      <c r="I554" s="110">
        <f t="shared" si="19"/>
        <v>3.4030972008334088</v>
      </c>
    </row>
    <row r="555" spans="1:9" ht="23.25" customHeight="1">
      <c r="A555" s="1"/>
      <c r="B555" s="1"/>
      <c r="C555" s="44" t="s">
        <v>167</v>
      </c>
      <c r="D555" s="45" t="s">
        <v>12</v>
      </c>
      <c r="E555" s="46">
        <v>1103900</v>
      </c>
      <c r="F555" s="47">
        <f>F556+F557+F558+F559+F560</f>
        <v>2632979</v>
      </c>
      <c r="G555" s="19"/>
      <c r="H555" s="18">
        <f t="shared" si="18"/>
        <v>1529079</v>
      </c>
      <c r="I555" s="110">
        <f t="shared" si="19"/>
        <v>2.3851607935501402</v>
      </c>
    </row>
    <row r="556" spans="1:9" ht="12" customHeight="1">
      <c r="A556" s="1"/>
      <c r="B556" s="1"/>
      <c r="C556" s="48" t="s">
        <v>13</v>
      </c>
      <c r="D556" s="62" t="s">
        <v>14</v>
      </c>
      <c r="E556" s="50">
        <v>872300</v>
      </c>
      <c r="F556" s="51">
        <v>1843310</v>
      </c>
      <c r="G556" s="19"/>
      <c r="H556" s="26">
        <f t="shared" si="18"/>
        <v>971010</v>
      </c>
      <c r="I556" s="111">
        <f t="shared" si="19"/>
        <v>2.1131606098819216</v>
      </c>
    </row>
    <row r="557" spans="1:9" ht="12" customHeight="1">
      <c r="A557" s="1"/>
      <c r="B557" s="1"/>
      <c r="C557" s="48" t="s">
        <v>15</v>
      </c>
      <c r="D557" s="62" t="s">
        <v>16</v>
      </c>
      <c r="E557" s="50">
        <v>191600</v>
      </c>
      <c r="F557" s="51">
        <v>405529</v>
      </c>
      <c r="G557" s="19"/>
      <c r="H557" s="26">
        <f t="shared" si="18"/>
        <v>213929</v>
      </c>
      <c r="I557" s="111">
        <f t="shared" si="19"/>
        <v>2.1165396659707723</v>
      </c>
    </row>
    <row r="558" spans="1:9" ht="14.25" customHeight="1">
      <c r="A558" s="1"/>
      <c r="B558" s="1"/>
      <c r="C558" s="48" t="s">
        <v>17</v>
      </c>
      <c r="D558" s="62" t="s">
        <v>18</v>
      </c>
      <c r="E558" s="50">
        <v>10000</v>
      </c>
      <c r="F558" s="51">
        <v>100000</v>
      </c>
      <c r="G558" s="19"/>
      <c r="H558" s="26">
        <f t="shared" si="18"/>
        <v>90000</v>
      </c>
      <c r="I558" s="111">
        <f t="shared" si="19"/>
        <v>10</v>
      </c>
    </row>
    <row r="559" spans="1:9" ht="12" customHeight="1">
      <c r="A559" s="1"/>
      <c r="B559" s="1"/>
      <c r="C559" s="48" t="s">
        <v>19</v>
      </c>
      <c r="D559" s="62" t="s">
        <v>20</v>
      </c>
      <c r="E559" s="50">
        <v>30000</v>
      </c>
      <c r="F559" s="51">
        <v>50000</v>
      </c>
      <c r="G559" s="19"/>
      <c r="H559" s="26">
        <f t="shared" si="18"/>
        <v>20000</v>
      </c>
      <c r="I559" s="111">
        <f t="shared" si="19"/>
        <v>1.6666666666666667</v>
      </c>
    </row>
    <row r="560" spans="1:9" ht="15" customHeight="1">
      <c r="A560" s="1"/>
      <c r="B560" s="1"/>
      <c r="C560" s="64">
        <v>3110</v>
      </c>
      <c r="D560" s="95" t="s">
        <v>37</v>
      </c>
      <c r="E560" s="73"/>
      <c r="F560" s="51">
        <v>234140</v>
      </c>
      <c r="G560" s="19"/>
      <c r="H560" s="26">
        <f t="shared" si="18"/>
        <v>234140</v>
      </c>
      <c r="I560" s="111"/>
    </row>
    <row r="561" spans="1:17" ht="21.75" customHeight="1">
      <c r="A561" s="1"/>
      <c r="B561" s="1"/>
      <c r="C561" s="44">
        <v>913112</v>
      </c>
      <c r="D561" s="88" t="s">
        <v>168</v>
      </c>
      <c r="E561" s="50"/>
      <c r="F561" s="47">
        <f>F562</f>
        <v>183700</v>
      </c>
      <c r="G561" s="19"/>
      <c r="H561" s="18">
        <f t="shared" si="18"/>
        <v>183700</v>
      </c>
      <c r="I561" s="111"/>
    </row>
    <row r="562" spans="1:17" ht="21.75" customHeight="1">
      <c r="A562" s="1"/>
      <c r="B562" s="1"/>
      <c r="C562" s="48">
        <v>2282</v>
      </c>
      <c r="D562" s="62" t="s">
        <v>34</v>
      </c>
      <c r="E562" s="50"/>
      <c r="F562" s="51">
        <v>183700</v>
      </c>
      <c r="G562" s="19"/>
      <c r="H562" s="26">
        <f t="shared" si="18"/>
        <v>183700</v>
      </c>
      <c r="I562" s="111"/>
    </row>
    <row r="563" spans="1:17" ht="21.75" customHeight="1">
      <c r="A563" s="1"/>
      <c r="B563" s="1"/>
      <c r="C563" s="44">
        <v>913140</v>
      </c>
      <c r="D563" s="45" t="s">
        <v>169</v>
      </c>
      <c r="E563" s="46">
        <v>940000</v>
      </c>
      <c r="F563" s="47">
        <f>F564</f>
        <v>940000</v>
      </c>
      <c r="G563" s="19"/>
      <c r="H563" s="18">
        <f t="shared" si="18"/>
        <v>0</v>
      </c>
      <c r="I563" s="110">
        <f t="shared" si="19"/>
        <v>1</v>
      </c>
    </row>
    <row r="564" spans="1:17" ht="21.75" customHeight="1">
      <c r="A564" s="1"/>
      <c r="B564" s="1"/>
      <c r="C564" s="48" t="s">
        <v>33</v>
      </c>
      <c r="D564" s="62" t="s">
        <v>34</v>
      </c>
      <c r="E564" s="50">
        <v>940000</v>
      </c>
      <c r="F564" s="51">
        <v>940000</v>
      </c>
      <c r="G564" s="19"/>
      <c r="H564" s="26">
        <f t="shared" si="18"/>
        <v>0</v>
      </c>
      <c r="I564" s="111">
        <f t="shared" si="19"/>
        <v>1</v>
      </c>
    </row>
    <row r="565" spans="1:17" ht="20.100000000000001" customHeight="1">
      <c r="A565" s="1"/>
      <c r="B565" s="1"/>
      <c r="C565" s="44" t="s">
        <v>170</v>
      </c>
      <c r="D565" s="45" t="s">
        <v>171</v>
      </c>
      <c r="E565" s="46">
        <v>49355066</v>
      </c>
      <c r="F565" s="47">
        <f>F566+F573+F585+F591+F605+F618+F629+F633+F635+F642+F645+F589+F603</f>
        <v>43651646.615384616</v>
      </c>
      <c r="G565" s="19"/>
      <c r="H565" s="18">
        <f t="shared" si="18"/>
        <v>-5703419.384615384</v>
      </c>
      <c r="I565" s="110">
        <f t="shared" si="19"/>
        <v>0.88444105444787813</v>
      </c>
    </row>
    <row r="566" spans="1:17" ht="19.5" customHeight="1">
      <c r="A566" s="1"/>
      <c r="B566" s="1"/>
      <c r="C566" s="44" t="s">
        <v>172</v>
      </c>
      <c r="D566" s="45" t="s">
        <v>12</v>
      </c>
      <c r="E566" s="46">
        <v>1577906</v>
      </c>
      <c r="F566" s="47">
        <f>F567+F568+F569+F570+F571+F572</f>
        <v>1562000</v>
      </c>
      <c r="G566" s="19"/>
      <c r="H566" s="18">
        <f t="shared" si="18"/>
        <v>-15906</v>
      </c>
      <c r="I566" s="110">
        <f t="shared" si="19"/>
        <v>0.98991955160827072</v>
      </c>
    </row>
    <row r="567" spans="1:17" ht="12" customHeight="1">
      <c r="A567" s="1"/>
      <c r="B567" s="1"/>
      <c r="C567" s="48" t="s">
        <v>13</v>
      </c>
      <c r="D567" s="62" t="s">
        <v>14</v>
      </c>
      <c r="E567" s="50">
        <v>963976</v>
      </c>
      <c r="F567" s="51">
        <v>1042000</v>
      </c>
      <c r="G567" s="19"/>
      <c r="H567" s="26">
        <f t="shared" si="18"/>
        <v>78024</v>
      </c>
      <c r="I567" s="111">
        <f t="shared" si="19"/>
        <v>1.0809397744342182</v>
      </c>
    </row>
    <row r="568" spans="1:17" ht="12" customHeight="1">
      <c r="A568" s="1"/>
      <c r="B568" s="1"/>
      <c r="C568" s="48" t="s">
        <v>15</v>
      </c>
      <c r="D568" s="62" t="s">
        <v>16</v>
      </c>
      <c r="E568" s="50">
        <v>212155</v>
      </c>
      <c r="F568" s="51">
        <v>230000</v>
      </c>
      <c r="G568" s="19"/>
      <c r="H568" s="26">
        <f t="shared" si="18"/>
        <v>17845</v>
      </c>
      <c r="I568" s="111">
        <f t="shared" si="19"/>
        <v>1.0841130305672739</v>
      </c>
    </row>
    <row r="569" spans="1:17" ht="20.100000000000001" customHeight="1">
      <c r="A569" s="1"/>
      <c r="B569" s="1"/>
      <c r="C569" s="48" t="s">
        <v>17</v>
      </c>
      <c r="D569" s="62" t="s">
        <v>18</v>
      </c>
      <c r="E569" s="50">
        <v>258275</v>
      </c>
      <c r="F569" s="51">
        <v>150000</v>
      </c>
      <c r="G569" s="19"/>
      <c r="H569" s="26">
        <f t="shared" si="18"/>
        <v>-108275</v>
      </c>
      <c r="I569" s="111">
        <f t="shared" si="19"/>
        <v>0.58077630432678351</v>
      </c>
    </row>
    <row r="570" spans="1:17" ht="12" customHeight="1">
      <c r="A570" s="1"/>
      <c r="B570" s="1"/>
      <c r="C570" s="48" t="s">
        <v>19</v>
      </c>
      <c r="D570" s="62" t="s">
        <v>20</v>
      </c>
      <c r="E570" s="50">
        <v>122000</v>
      </c>
      <c r="F570" s="51">
        <v>100000</v>
      </c>
      <c r="G570" s="19"/>
      <c r="H570" s="26">
        <f t="shared" si="18"/>
        <v>-22000</v>
      </c>
      <c r="I570" s="111">
        <f t="shared" si="19"/>
        <v>0.81967213114754101</v>
      </c>
    </row>
    <row r="571" spans="1:17" ht="20.25" customHeight="1">
      <c r="A571" s="1"/>
      <c r="B571" s="1"/>
      <c r="C571" s="48" t="s">
        <v>33</v>
      </c>
      <c r="D571" s="62" t="s">
        <v>34</v>
      </c>
      <c r="E571" s="50">
        <v>20000</v>
      </c>
      <c r="F571" s="51">
        <v>30000</v>
      </c>
      <c r="G571" s="19"/>
      <c r="H571" s="26">
        <f t="shared" si="18"/>
        <v>10000</v>
      </c>
      <c r="I571" s="111">
        <f t="shared" si="19"/>
        <v>1.5</v>
      </c>
    </row>
    <row r="572" spans="1:17" ht="12" customHeight="1">
      <c r="A572" s="1"/>
      <c r="B572" s="1"/>
      <c r="C572" s="48" t="s">
        <v>35</v>
      </c>
      <c r="D572" s="62" t="s">
        <v>36</v>
      </c>
      <c r="E572" s="50">
        <v>1500</v>
      </c>
      <c r="F572" s="51">
        <v>10000</v>
      </c>
      <c r="G572" s="19"/>
      <c r="H572" s="26">
        <f t="shared" si="18"/>
        <v>8500</v>
      </c>
      <c r="I572" s="111">
        <f t="shared" si="19"/>
        <v>6.666666666666667</v>
      </c>
    </row>
    <row r="573" spans="1:17" s="9" customFormat="1" ht="19.5" customHeight="1">
      <c r="A573" s="1"/>
      <c r="B573" s="1"/>
      <c r="C573" s="44" t="s">
        <v>173</v>
      </c>
      <c r="D573" s="45" t="s">
        <v>174</v>
      </c>
      <c r="E573" s="46">
        <v>17836301</v>
      </c>
      <c r="F573" s="47">
        <f>F574+F575+F576+F577+F578+F579+F580+F581+F582+F583+F584</f>
        <v>15015180.615384616</v>
      </c>
      <c r="G573" s="19"/>
      <c r="H573" s="18">
        <f t="shared" si="18"/>
        <v>-2821120.384615384</v>
      </c>
      <c r="I573" s="110">
        <f t="shared" si="19"/>
        <v>0.8418326543931175</v>
      </c>
      <c r="J573"/>
      <c r="K573"/>
      <c r="L573"/>
      <c r="M573"/>
      <c r="N573"/>
      <c r="O573"/>
      <c r="P573"/>
      <c r="Q573"/>
    </row>
    <row r="574" spans="1:17" s="9" customFormat="1" ht="12" customHeight="1">
      <c r="A574" s="1"/>
      <c r="B574" s="1"/>
      <c r="C574" s="48" t="s">
        <v>13</v>
      </c>
      <c r="D574" s="62" t="s">
        <v>14</v>
      </c>
      <c r="E574" s="50">
        <v>14010370</v>
      </c>
      <c r="F574" s="51">
        <f>14715500-G574</f>
        <v>11886496</v>
      </c>
      <c r="G574" s="19">
        <v>2829004</v>
      </c>
      <c r="H574" s="26">
        <f t="shared" si="18"/>
        <v>-2123874</v>
      </c>
      <c r="I574" s="111">
        <f t="shared" si="19"/>
        <v>0.84840700138540237</v>
      </c>
      <c r="J574"/>
      <c r="K574"/>
      <c r="L574"/>
      <c r="M574"/>
      <c r="N574"/>
      <c r="O574"/>
      <c r="P574"/>
      <c r="Q574"/>
    </row>
    <row r="575" spans="1:17" s="9" customFormat="1" ht="12" customHeight="1">
      <c r="A575" s="1"/>
      <c r="B575" s="1"/>
      <c r="C575" s="48" t="s">
        <v>15</v>
      </c>
      <c r="D575" s="62" t="s">
        <v>16</v>
      </c>
      <c r="E575" s="50">
        <v>3030035</v>
      </c>
      <c r="F575" s="51">
        <f>3237600-G575</f>
        <v>2614984.6153846155</v>
      </c>
      <c r="G575" s="19">
        <v>622615.38461538462</v>
      </c>
      <c r="H575" s="26">
        <f t="shared" si="18"/>
        <v>-415050.38461538451</v>
      </c>
      <c r="I575" s="111">
        <f t="shared" si="19"/>
        <v>0.86302125730713197</v>
      </c>
      <c r="J575"/>
      <c r="K575"/>
      <c r="L575"/>
      <c r="M575"/>
      <c r="N575"/>
      <c r="O575"/>
      <c r="P575"/>
      <c r="Q575"/>
    </row>
    <row r="576" spans="1:17" s="9" customFormat="1" ht="20.100000000000001" customHeight="1">
      <c r="A576" s="1"/>
      <c r="B576" s="1"/>
      <c r="C576" s="48" t="s">
        <v>17</v>
      </c>
      <c r="D576" s="62" t="s">
        <v>18</v>
      </c>
      <c r="E576" s="50">
        <v>256590</v>
      </c>
      <c r="F576" s="51">
        <v>100000</v>
      </c>
      <c r="G576" s="19"/>
      <c r="H576" s="26">
        <f t="shared" si="18"/>
        <v>-156590</v>
      </c>
      <c r="I576" s="111">
        <f t="shared" si="19"/>
        <v>0.38972680151214001</v>
      </c>
      <c r="J576"/>
      <c r="K576"/>
      <c r="L576"/>
      <c r="M576"/>
      <c r="N576"/>
      <c r="O576"/>
      <c r="P576"/>
      <c r="Q576"/>
    </row>
    <row r="577" spans="1:17" s="9" customFormat="1" ht="12" customHeight="1">
      <c r="A577" s="1"/>
      <c r="B577" s="1"/>
      <c r="C577" s="48" t="s">
        <v>19</v>
      </c>
      <c r="D577" s="62" t="s">
        <v>20</v>
      </c>
      <c r="E577" s="50">
        <v>433020</v>
      </c>
      <c r="F577" s="51">
        <v>200000</v>
      </c>
      <c r="G577" s="19"/>
      <c r="H577" s="26">
        <f t="shared" si="18"/>
        <v>-233020</v>
      </c>
      <c r="I577" s="111">
        <f t="shared" si="19"/>
        <v>0.4618724308346035</v>
      </c>
      <c r="J577"/>
      <c r="K577"/>
      <c r="L577"/>
      <c r="M577"/>
      <c r="N577"/>
      <c r="O577"/>
      <c r="P577"/>
      <c r="Q577"/>
    </row>
    <row r="578" spans="1:17" s="9" customFormat="1" ht="12" customHeight="1">
      <c r="A578" s="1"/>
      <c r="B578" s="1"/>
      <c r="C578" s="48" t="s">
        <v>21</v>
      </c>
      <c r="D578" s="62" t="s">
        <v>22</v>
      </c>
      <c r="E578" s="50">
        <v>16400</v>
      </c>
      <c r="F578" s="51">
        <v>16400</v>
      </c>
      <c r="G578" s="19"/>
      <c r="H578" s="26">
        <f t="shared" si="18"/>
        <v>0</v>
      </c>
      <c r="I578" s="111">
        <f t="shared" si="19"/>
        <v>1</v>
      </c>
      <c r="J578"/>
      <c r="K578"/>
      <c r="L578"/>
      <c r="M578"/>
      <c r="N578"/>
      <c r="O578"/>
      <c r="P578"/>
      <c r="Q578"/>
    </row>
    <row r="579" spans="1:17" s="9" customFormat="1" ht="12.75" customHeight="1">
      <c r="A579" s="1"/>
      <c r="B579" s="1"/>
      <c r="C579" s="48" t="s">
        <v>25</v>
      </c>
      <c r="D579" s="62" t="s">
        <v>26</v>
      </c>
      <c r="E579" s="50">
        <v>3000</v>
      </c>
      <c r="F579" s="51">
        <v>5300</v>
      </c>
      <c r="G579" s="19"/>
      <c r="H579" s="26">
        <f t="shared" si="18"/>
        <v>2300</v>
      </c>
      <c r="I579" s="111">
        <f t="shared" si="19"/>
        <v>1.7666666666666666</v>
      </c>
      <c r="J579"/>
      <c r="K579"/>
      <c r="L579"/>
      <c r="M579"/>
      <c r="N579"/>
      <c r="O579"/>
      <c r="P579"/>
      <c r="Q579"/>
    </row>
    <row r="580" spans="1:17" s="9" customFormat="1" ht="12" customHeight="1">
      <c r="A580" s="1"/>
      <c r="B580" s="1"/>
      <c r="C580" s="48" t="s">
        <v>27</v>
      </c>
      <c r="D580" s="62" t="s">
        <v>28</v>
      </c>
      <c r="E580" s="50">
        <v>38700</v>
      </c>
      <c r="F580" s="51">
        <v>55800</v>
      </c>
      <c r="G580" s="19"/>
      <c r="H580" s="26">
        <f t="shared" si="18"/>
        <v>17100</v>
      </c>
      <c r="I580" s="111">
        <f t="shared" si="19"/>
        <v>1.441860465116279</v>
      </c>
      <c r="J580"/>
      <c r="K580"/>
      <c r="L580"/>
      <c r="M580"/>
      <c r="N580"/>
      <c r="O580"/>
      <c r="P580"/>
      <c r="Q580"/>
    </row>
    <row r="581" spans="1:17" s="9" customFormat="1" ht="12" customHeight="1">
      <c r="A581" s="1"/>
      <c r="B581" s="1"/>
      <c r="C581" s="48" t="s">
        <v>29</v>
      </c>
      <c r="D581" s="62" t="s">
        <v>30</v>
      </c>
      <c r="E581" s="50">
        <v>35676</v>
      </c>
      <c r="F581" s="51">
        <v>44000</v>
      </c>
      <c r="G581" s="19"/>
      <c r="H581" s="26">
        <f t="shared" si="18"/>
        <v>8324</v>
      </c>
      <c r="I581" s="111">
        <f t="shared" si="19"/>
        <v>1.2333221213140486</v>
      </c>
      <c r="J581"/>
      <c r="K581"/>
      <c r="L581"/>
      <c r="M581"/>
      <c r="N581"/>
      <c r="O581"/>
      <c r="P581"/>
      <c r="Q581"/>
    </row>
    <row r="582" spans="1:17" s="9" customFormat="1" ht="20.100000000000001" customHeight="1">
      <c r="A582" s="1"/>
      <c r="B582" s="1"/>
      <c r="C582" s="48" t="s">
        <v>31</v>
      </c>
      <c r="D582" s="62" t="s">
        <v>32</v>
      </c>
      <c r="E582" s="50">
        <v>6600</v>
      </c>
      <c r="F582" s="51">
        <v>7200</v>
      </c>
      <c r="G582" s="19"/>
      <c r="H582" s="26">
        <f t="shared" si="18"/>
        <v>600</v>
      </c>
      <c r="I582" s="111">
        <f t="shared" si="19"/>
        <v>1.0909090909090908</v>
      </c>
      <c r="J582"/>
      <c r="K582"/>
      <c r="L582"/>
      <c r="M582"/>
      <c r="N582"/>
      <c r="O582"/>
      <c r="P582"/>
      <c r="Q582"/>
    </row>
    <row r="583" spans="1:17" s="9" customFormat="1" ht="20.25" customHeight="1">
      <c r="A583" s="1"/>
      <c r="B583" s="1"/>
      <c r="C583" s="48" t="s">
        <v>33</v>
      </c>
      <c r="D583" s="62" t="s">
        <v>34</v>
      </c>
      <c r="E583" s="50">
        <v>5910</v>
      </c>
      <c r="F583" s="51">
        <v>60000</v>
      </c>
      <c r="G583" s="19"/>
      <c r="H583" s="26">
        <f t="shared" si="18"/>
        <v>54090</v>
      </c>
      <c r="I583" s="111">
        <f t="shared" si="19"/>
        <v>10.152284263959391</v>
      </c>
      <c r="J583"/>
      <c r="K583"/>
      <c r="L583"/>
      <c r="M583"/>
      <c r="N583"/>
      <c r="O583"/>
      <c r="P583"/>
      <c r="Q583"/>
    </row>
    <row r="584" spans="1:17" s="9" customFormat="1" ht="20.25" customHeight="1">
      <c r="A584" s="1"/>
      <c r="B584" s="1"/>
      <c r="C584" s="64">
        <v>3110</v>
      </c>
      <c r="D584" s="95" t="s">
        <v>175</v>
      </c>
      <c r="E584" s="66">
        <v>47000</v>
      </c>
      <c r="F584" s="51">
        <v>25000</v>
      </c>
      <c r="G584" s="19"/>
      <c r="H584" s="26">
        <f t="shared" si="18"/>
        <v>-22000</v>
      </c>
      <c r="I584" s="111">
        <f t="shared" si="19"/>
        <v>0.53191489361702127</v>
      </c>
      <c r="J584"/>
      <c r="K584"/>
      <c r="L584"/>
      <c r="M584"/>
      <c r="N584"/>
      <c r="O584"/>
      <c r="P584"/>
      <c r="Q584"/>
    </row>
    <row r="585" spans="1:17" s="9" customFormat="1" ht="25.5" customHeight="1">
      <c r="A585" s="1"/>
      <c r="B585" s="1"/>
      <c r="C585" s="44" t="s">
        <v>176</v>
      </c>
      <c r="D585" s="52" t="s">
        <v>177</v>
      </c>
      <c r="E585" s="46">
        <v>180000</v>
      </c>
      <c r="F585" s="47">
        <f>F586+F587+F588</f>
        <v>300000</v>
      </c>
      <c r="G585" s="19"/>
      <c r="H585" s="18">
        <f t="shared" si="18"/>
        <v>120000</v>
      </c>
      <c r="I585" s="110">
        <f t="shared" si="19"/>
        <v>1.6666666666666667</v>
      </c>
      <c r="J585"/>
      <c r="K585"/>
      <c r="L585"/>
      <c r="M585"/>
      <c r="N585"/>
      <c r="O585"/>
      <c r="P585"/>
      <c r="Q585"/>
    </row>
    <row r="586" spans="1:17" s="9" customFormat="1" ht="14.25" customHeight="1">
      <c r="A586" s="1"/>
      <c r="B586" s="1"/>
      <c r="C586" s="48" t="s">
        <v>17</v>
      </c>
      <c r="D586" s="62" t="s">
        <v>18</v>
      </c>
      <c r="E586" s="50">
        <v>50000</v>
      </c>
      <c r="F586" s="51">
        <v>50000</v>
      </c>
      <c r="G586" s="19"/>
      <c r="H586" s="26">
        <f t="shared" ref="H586:H649" si="20">F586-E586</f>
        <v>0</v>
      </c>
      <c r="I586" s="111">
        <f t="shared" ref="I586:I649" si="21">F586/E586</f>
        <v>1</v>
      </c>
      <c r="J586"/>
      <c r="K586"/>
      <c r="L586"/>
      <c r="M586"/>
      <c r="N586"/>
      <c r="O586"/>
      <c r="P586"/>
      <c r="Q586"/>
    </row>
    <row r="587" spans="1:17" s="9" customFormat="1" ht="12" customHeight="1">
      <c r="A587" s="1"/>
      <c r="B587" s="1"/>
      <c r="C587" s="48" t="s">
        <v>19</v>
      </c>
      <c r="D587" s="62" t="s">
        <v>20</v>
      </c>
      <c r="E587" s="50">
        <v>130000</v>
      </c>
      <c r="F587" s="51">
        <v>100000</v>
      </c>
      <c r="G587" s="19"/>
      <c r="H587" s="26">
        <f t="shared" si="20"/>
        <v>-30000</v>
      </c>
      <c r="I587" s="111">
        <f t="shared" si="21"/>
        <v>0.76923076923076927</v>
      </c>
      <c r="J587"/>
      <c r="K587"/>
      <c r="L587"/>
      <c r="M587"/>
      <c r="N587"/>
      <c r="O587"/>
      <c r="P587"/>
      <c r="Q587"/>
    </row>
    <row r="588" spans="1:17" s="9" customFormat="1" ht="12" customHeight="1">
      <c r="A588" s="1"/>
      <c r="B588" s="1"/>
      <c r="C588" s="48">
        <v>2282</v>
      </c>
      <c r="D588" s="62" t="s">
        <v>34</v>
      </c>
      <c r="E588" s="50"/>
      <c r="F588" s="51">
        <v>150000</v>
      </c>
      <c r="G588" s="19"/>
      <c r="H588" s="26">
        <f t="shared" si="20"/>
        <v>150000</v>
      </c>
      <c r="I588" s="111"/>
      <c r="J588"/>
      <c r="K588"/>
      <c r="L588"/>
      <c r="M588"/>
      <c r="N588"/>
      <c r="O588"/>
      <c r="P588"/>
      <c r="Q588"/>
    </row>
    <row r="589" spans="1:17" s="9" customFormat="1" ht="12" customHeight="1">
      <c r="A589" s="1"/>
      <c r="B589" s="1"/>
      <c r="C589" s="44">
        <v>1013242</v>
      </c>
      <c r="D589" s="52" t="s">
        <v>178</v>
      </c>
      <c r="E589" s="46"/>
      <c r="F589" s="47">
        <f>F590</f>
        <v>150000</v>
      </c>
      <c r="G589" s="19"/>
      <c r="H589" s="26">
        <f t="shared" si="20"/>
        <v>150000</v>
      </c>
      <c r="I589" s="111"/>
      <c r="J589"/>
      <c r="K589"/>
      <c r="L589"/>
      <c r="M589"/>
      <c r="N589"/>
      <c r="O589"/>
      <c r="P589"/>
      <c r="Q589"/>
    </row>
    <row r="590" spans="1:17" s="9" customFormat="1" ht="12" customHeight="1">
      <c r="A590" s="1"/>
      <c r="B590" s="1"/>
      <c r="C590" s="48" t="s">
        <v>160</v>
      </c>
      <c r="D590" s="62" t="s">
        <v>149</v>
      </c>
      <c r="E590" s="50"/>
      <c r="F590" s="51">
        <v>150000</v>
      </c>
      <c r="G590" s="19"/>
      <c r="H590" s="26">
        <f t="shared" si="20"/>
        <v>150000</v>
      </c>
      <c r="I590" s="111"/>
      <c r="J590"/>
      <c r="K590"/>
      <c r="L590"/>
      <c r="M590"/>
      <c r="N590"/>
      <c r="O590"/>
      <c r="P590"/>
      <c r="Q590"/>
    </row>
    <row r="591" spans="1:17" s="9" customFormat="1" ht="12" customHeight="1">
      <c r="A591" s="1"/>
      <c r="B591" s="1"/>
      <c r="C591" s="44" t="s">
        <v>179</v>
      </c>
      <c r="D591" s="45" t="s">
        <v>180</v>
      </c>
      <c r="E591" s="46">
        <v>3837600</v>
      </c>
      <c r="F591" s="47">
        <f>F592+F593+F594+F595+F596+F597+F598+F599+F600+F601+F602</f>
        <v>4092416</v>
      </c>
      <c r="G591" s="19"/>
      <c r="H591" s="18">
        <f t="shared" si="20"/>
        <v>254816</v>
      </c>
      <c r="I591" s="110">
        <f t="shared" si="21"/>
        <v>1.0663998332291016</v>
      </c>
      <c r="J591"/>
      <c r="K591"/>
      <c r="L591"/>
      <c r="M591"/>
      <c r="N591"/>
      <c r="O591"/>
      <c r="P591"/>
      <c r="Q591"/>
    </row>
    <row r="592" spans="1:17" s="9" customFormat="1" ht="12" customHeight="1">
      <c r="A592" s="1"/>
      <c r="B592" s="1"/>
      <c r="C592" s="48" t="s">
        <v>13</v>
      </c>
      <c r="D592" s="62" t="s">
        <v>14</v>
      </c>
      <c r="E592" s="50">
        <v>2767465</v>
      </c>
      <c r="F592" s="51">
        <f>3298020-G592</f>
        <v>2790632</v>
      </c>
      <c r="G592" s="19">
        <v>507388</v>
      </c>
      <c r="H592" s="26">
        <f t="shared" si="20"/>
        <v>23167</v>
      </c>
      <c r="I592" s="111">
        <f t="shared" si="21"/>
        <v>1.0083711989130848</v>
      </c>
      <c r="J592"/>
      <c r="K592"/>
      <c r="L592"/>
      <c r="M592"/>
      <c r="N592"/>
      <c r="O592"/>
      <c r="P592"/>
      <c r="Q592"/>
    </row>
    <row r="593" spans="1:17" s="9" customFormat="1" ht="12" customHeight="1">
      <c r="A593" s="1"/>
      <c r="B593" s="1"/>
      <c r="C593" s="48" t="s">
        <v>15</v>
      </c>
      <c r="D593" s="62" t="s">
        <v>16</v>
      </c>
      <c r="E593" s="50">
        <v>653213</v>
      </c>
      <c r="F593" s="51">
        <f>778445-G593</f>
        <v>658684</v>
      </c>
      <c r="G593" s="19">
        <v>119761</v>
      </c>
      <c r="H593" s="26">
        <f t="shared" si="20"/>
        <v>5471</v>
      </c>
      <c r="I593" s="111">
        <f t="shared" si="21"/>
        <v>1.0083755222262876</v>
      </c>
      <c r="J593"/>
      <c r="K593"/>
      <c r="L593"/>
      <c r="M593"/>
      <c r="N593"/>
      <c r="O593"/>
      <c r="P593"/>
      <c r="Q593"/>
    </row>
    <row r="594" spans="1:17" s="9" customFormat="1" ht="14.25" customHeight="1">
      <c r="A594" s="1"/>
      <c r="B594" s="1"/>
      <c r="C594" s="48" t="s">
        <v>17</v>
      </c>
      <c r="D594" s="62" t="s">
        <v>18</v>
      </c>
      <c r="E594" s="50">
        <v>121000</v>
      </c>
      <c r="F594" s="51">
        <v>100000</v>
      </c>
      <c r="G594" s="19"/>
      <c r="H594" s="26">
        <f t="shared" si="20"/>
        <v>-21000</v>
      </c>
      <c r="I594" s="111">
        <f t="shared" si="21"/>
        <v>0.82644628099173556</v>
      </c>
      <c r="J594"/>
      <c r="K594"/>
      <c r="L594"/>
      <c r="M594"/>
      <c r="N594"/>
      <c r="O594"/>
      <c r="P594"/>
      <c r="Q594"/>
    </row>
    <row r="595" spans="1:17" s="9" customFormat="1" ht="12" customHeight="1">
      <c r="A595" s="1"/>
      <c r="B595" s="1"/>
      <c r="C595" s="48" t="s">
        <v>19</v>
      </c>
      <c r="D595" s="62" t="s">
        <v>20</v>
      </c>
      <c r="E595" s="50">
        <v>69500</v>
      </c>
      <c r="F595" s="51">
        <v>50000</v>
      </c>
      <c r="G595" s="19"/>
      <c r="H595" s="26">
        <f t="shared" si="20"/>
        <v>-19500</v>
      </c>
      <c r="I595" s="111">
        <f t="shared" si="21"/>
        <v>0.71942446043165464</v>
      </c>
      <c r="J595"/>
      <c r="K595"/>
      <c r="L595"/>
      <c r="M595"/>
      <c r="N595"/>
      <c r="O595"/>
      <c r="P595"/>
      <c r="Q595"/>
    </row>
    <row r="596" spans="1:17" s="9" customFormat="1" ht="12" customHeight="1">
      <c r="A596" s="1"/>
      <c r="B596" s="1"/>
      <c r="C596" s="48">
        <v>2250</v>
      </c>
      <c r="D596" s="62" t="s">
        <v>22</v>
      </c>
      <c r="E596" s="50"/>
      <c r="F596" s="51">
        <v>15000</v>
      </c>
      <c r="G596" s="19"/>
      <c r="H596" s="26">
        <f t="shared" si="20"/>
        <v>15000</v>
      </c>
      <c r="I596" s="111"/>
      <c r="J596"/>
      <c r="K596"/>
      <c r="L596"/>
      <c r="M596"/>
      <c r="N596"/>
      <c r="O596"/>
      <c r="P596"/>
      <c r="Q596"/>
    </row>
    <row r="597" spans="1:17" s="9" customFormat="1" ht="12" customHeight="1">
      <c r="A597" s="1"/>
      <c r="B597" s="1"/>
      <c r="C597" s="48" t="s">
        <v>23</v>
      </c>
      <c r="D597" s="62" t="s">
        <v>24</v>
      </c>
      <c r="E597" s="50">
        <v>198847</v>
      </c>
      <c r="F597" s="51">
        <v>350000</v>
      </c>
      <c r="G597" s="19"/>
      <c r="H597" s="26">
        <f t="shared" si="20"/>
        <v>151153</v>
      </c>
      <c r="I597" s="111">
        <f t="shared" si="21"/>
        <v>1.76014724888985</v>
      </c>
      <c r="J597"/>
      <c r="K597"/>
      <c r="L597"/>
      <c r="M597"/>
      <c r="N597"/>
      <c r="O597"/>
      <c r="P597"/>
      <c r="Q597"/>
    </row>
    <row r="598" spans="1:17" s="9" customFormat="1" ht="12.75" customHeight="1">
      <c r="A598" s="1"/>
      <c r="B598" s="1"/>
      <c r="C598" s="48" t="s">
        <v>25</v>
      </c>
      <c r="D598" s="62" t="s">
        <v>26</v>
      </c>
      <c r="E598" s="50">
        <v>3034</v>
      </c>
      <c r="F598" s="51">
        <v>3400</v>
      </c>
      <c r="G598" s="19"/>
      <c r="H598" s="26">
        <f t="shared" si="20"/>
        <v>366</v>
      </c>
      <c r="I598" s="111">
        <f t="shared" si="21"/>
        <v>1.1206328279499012</v>
      </c>
      <c r="J598"/>
      <c r="K598"/>
      <c r="L598"/>
      <c r="M598"/>
      <c r="N598"/>
      <c r="O598"/>
      <c r="P598"/>
      <c r="Q598"/>
    </row>
    <row r="599" spans="1:17" s="9" customFormat="1" ht="12" customHeight="1">
      <c r="A599" s="1"/>
      <c r="B599" s="1"/>
      <c r="C599" s="48" t="s">
        <v>27</v>
      </c>
      <c r="D599" s="62" t="s">
        <v>28</v>
      </c>
      <c r="E599" s="50">
        <v>24541</v>
      </c>
      <c r="F599" s="51">
        <v>34200</v>
      </c>
      <c r="G599" s="19"/>
      <c r="H599" s="26">
        <f t="shared" si="20"/>
        <v>9659</v>
      </c>
      <c r="I599" s="111">
        <f t="shared" si="21"/>
        <v>1.3935862434293631</v>
      </c>
      <c r="J599"/>
      <c r="K599"/>
      <c r="L599"/>
      <c r="M599"/>
      <c r="N599"/>
      <c r="O599"/>
      <c r="P599"/>
      <c r="Q599"/>
    </row>
    <row r="600" spans="1:17" s="9" customFormat="1" ht="12" customHeight="1">
      <c r="A600" s="1"/>
      <c r="B600" s="1"/>
      <c r="C600" s="48">
        <v>2282</v>
      </c>
      <c r="D600" s="62" t="s">
        <v>34</v>
      </c>
      <c r="E600" s="50"/>
      <c r="F600" s="51">
        <v>76500</v>
      </c>
      <c r="G600" s="19"/>
      <c r="H600" s="26">
        <f t="shared" si="20"/>
        <v>76500</v>
      </c>
      <c r="I600" s="111"/>
      <c r="J600"/>
      <c r="K600"/>
      <c r="L600"/>
      <c r="M600"/>
      <c r="N600"/>
      <c r="O600"/>
      <c r="P600"/>
      <c r="Q600"/>
    </row>
    <row r="601" spans="1:17" s="9" customFormat="1" ht="12" customHeight="1">
      <c r="A601" s="1"/>
      <c r="B601" s="1"/>
      <c r="C601" s="64">
        <v>3110</v>
      </c>
      <c r="D601" s="95" t="s">
        <v>175</v>
      </c>
      <c r="E601" s="66">
        <v>49000</v>
      </c>
      <c r="F601" s="51">
        <v>14000</v>
      </c>
      <c r="G601" s="19"/>
      <c r="H601" s="26">
        <f t="shared" si="20"/>
        <v>-35000</v>
      </c>
      <c r="I601" s="111">
        <f t="shared" si="21"/>
        <v>0.2857142857142857</v>
      </c>
      <c r="J601"/>
      <c r="K601"/>
      <c r="L601"/>
      <c r="M601"/>
      <c r="N601"/>
      <c r="O601"/>
      <c r="P601"/>
      <c r="Q601"/>
    </row>
    <row r="602" spans="1:17" s="9" customFormat="1" ht="12" hidden="1" customHeight="1">
      <c r="A602" s="1"/>
      <c r="B602" s="1"/>
      <c r="C602" s="71">
        <v>3132</v>
      </c>
      <c r="D602" s="72" t="s">
        <v>181</v>
      </c>
      <c r="E602" s="73"/>
      <c r="F602" s="74">
        <v>0</v>
      </c>
      <c r="G602" s="19"/>
      <c r="H602" s="26">
        <f t="shared" si="20"/>
        <v>0</v>
      </c>
      <c r="I602" s="111"/>
      <c r="J602"/>
      <c r="K602"/>
      <c r="L602"/>
      <c r="M602"/>
      <c r="N602"/>
      <c r="O602"/>
      <c r="P602"/>
      <c r="Q602"/>
    </row>
    <row r="603" spans="1:17" s="9" customFormat="1" ht="55.5" customHeight="1">
      <c r="A603" s="1"/>
      <c r="B603" s="1"/>
      <c r="C603" s="96">
        <v>1017691</v>
      </c>
      <c r="D603" s="97" t="s">
        <v>182</v>
      </c>
      <c r="E603" s="98"/>
      <c r="F603" s="47">
        <f>F604</f>
        <v>80000</v>
      </c>
      <c r="G603" s="19"/>
      <c r="H603" s="18">
        <f t="shared" si="20"/>
        <v>80000</v>
      </c>
      <c r="I603" s="110"/>
      <c r="J603"/>
      <c r="K603"/>
      <c r="L603"/>
      <c r="M603"/>
      <c r="N603"/>
      <c r="O603"/>
      <c r="P603"/>
      <c r="Q603"/>
    </row>
    <row r="604" spans="1:17" s="9" customFormat="1" ht="12" customHeight="1">
      <c r="A604" s="1"/>
      <c r="B604" s="1"/>
      <c r="C604" s="64">
        <v>3110</v>
      </c>
      <c r="D604" s="95" t="s">
        <v>183</v>
      </c>
      <c r="E604" s="73"/>
      <c r="F604" s="51">
        <v>80000</v>
      </c>
      <c r="G604" s="19"/>
      <c r="H604" s="26">
        <f t="shared" si="20"/>
        <v>80000</v>
      </c>
      <c r="I604" s="111"/>
      <c r="J604"/>
      <c r="K604"/>
      <c r="L604"/>
      <c r="M604"/>
      <c r="N604"/>
      <c r="O604"/>
      <c r="P604"/>
      <c r="Q604"/>
    </row>
    <row r="605" spans="1:17" s="9" customFormat="1" ht="14.25" customHeight="1">
      <c r="A605" s="1"/>
      <c r="B605" s="1"/>
      <c r="C605" s="44" t="s">
        <v>184</v>
      </c>
      <c r="D605" s="45" t="s">
        <v>185</v>
      </c>
      <c r="E605" s="46">
        <v>2284983</v>
      </c>
      <c r="F605" s="47">
        <f>F606+F607+F608+F609+F610+F611+F612+F613+F614+F615+F616+F617</f>
        <v>2059068</v>
      </c>
      <c r="G605" s="19"/>
      <c r="H605" s="18">
        <f t="shared" si="20"/>
        <v>-225915</v>
      </c>
      <c r="I605" s="110">
        <f t="shared" si="21"/>
        <v>0.90113055545708654</v>
      </c>
      <c r="J605"/>
      <c r="K605"/>
      <c r="L605"/>
      <c r="M605"/>
      <c r="N605"/>
      <c r="O605"/>
      <c r="P605"/>
      <c r="Q605"/>
    </row>
    <row r="606" spans="1:17" ht="12" customHeight="1">
      <c r="A606" s="1"/>
      <c r="B606" s="1"/>
      <c r="C606" s="48" t="s">
        <v>13</v>
      </c>
      <c r="D606" s="62" t="s">
        <v>14</v>
      </c>
      <c r="E606" s="50">
        <v>1152003</v>
      </c>
      <c r="F606" s="51">
        <f>1372855-G606</f>
        <v>1161647</v>
      </c>
      <c r="G606" s="19">
        <v>211208</v>
      </c>
      <c r="H606" s="26">
        <f t="shared" si="20"/>
        <v>9644</v>
      </c>
      <c r="I606" s="111">
        <f t="shared" si="21"/>
        <v>1.0083715059769809</v>
      </c>
    </row>
    <row r="607" spans="1:17" ht="12" customHeight="1">
      <c r="A607" s="1"/>
      <c r="B607" s="1"/>
      <c r="C607" s="48" t="s">
        <v>15</v>
      </c>
      <c r="D607" s="62" t="s">
        <v>16</v>
      </c>
      <c r="E607" s="50">
        <v>285720</v>
      </c>
      <c r="F607" s="51">
        <f>340495-G607</f>
        <v>288111</v>
      </c>
      <c r="G607" s="19">
        <v>52384</v>
      </c>
      <c r="H607" s="26">
        <f t="shared" si="20"/>
        <v>2391</v>
      </c>
      <c r="I607" s="111">
        <f t="shared" si="21"/>
        <v>1.0083683326333472</v>
      </c>
    </row>
    <row r="608" spans="1:17" ht="16.5" customHeight="1">
      <c r="A608" s="1"/>
      <c r="B608" s="1"/>
      <c r="C608" s="48" t="s">
        <v>17</v>
      </c>
      <c r="D608" s="62" t="s">
        <v>18</v>
      </c>
      <c r="E608" s="50">
        <v>190000</v>
      </c>
      <c r="F608" s="51">
        <v>110000</v>
      </c>
      <c r="G608" s="19"/>
      <c r="H608" s="26">
        <f t="shared" si="20"/>
        <v>-80000</v>
      </c>
      <c r="I608" s="111">
        <f t="shared" si="21"/>
        <v>0.57894736842105265</v>
      </c>
    </row>
    <row r="609" spans="1:17" ht="12" customHeight="1">
      <c r="A609" s="1"/>
      <c r="B609" s="1"/>
      <c r="C609" s="48" t="s">
        <v>19</v>
      </c>
      <c r="D609" s="62" t="s">
        <v>20</v>
      </c>
      <c r="E609" s="50">
        <v>446884</v>
      </c>
      <c r="F609" s="51">
        <v>120000</v>
      </c>
      <c r="G609" s="19"/>
      <c r="H609" s="26">
        <f t="shared" si="20"/>
        <v>-326884</v>
      </c>
      <c r="I609" s="111">
        <f t="shared" si="21"/>
        <v>0.2685260604541671</v>
      </c>
    </row>
    <row r="610" spans="1:17" ht="12" customHeight="1">
      <c r="A610" s="1"/>
      <c r="B610" s="1"/>
      <c r="C610" s="48" t="s">
        <v>21</v>
      </c>
      <c r="D610" s="62" t="s">
        <v>22</v>
      </c>
      <c r="E610" s="50">
        <v>4000</v>
      </c>
      <c r="F610" s="51">
        <v>4000</v>
      </c>
      <c r="G610" s="19"/>
      <c r="H610" s="26">
        <f t="shared" si="20"/>
        <v>0</v>
      </c>
      <c r="I610" s="111">
        <f t="shared" si="21"/>
        <v>1</v>
      </c>
    </row>
    <row r="611" spans="1:17" ht="13.5" customHeight="1">
      <c r="A611" s="1"/>
      <c r="B611" s="1"/>
      <c r="C611" s="48" t="s">
        <v>25</v>
      </c>
      <c r="D611" s="62" t="s">
        <v>26</v>
      </c>
      <c r="E611" s="50">
        <v>10000</v>
      </c>
      <c r="F611" s="51">
        <v>1880</v>
      </c>
      <c r="G611" s="19"/>
      <c r="H611" s="26">
        <f t="shared" si="20"/>
        <v>-8120</v>
      </c>
      <c r="I611" s="111">
        <f t="shared" si="21"/>
        <v>0.188</v>
      </c>
    </row>
    <row r="612" spans="1:17" ht="12" customHeight="1">
      <c r="A612" s="1"/>
      <c r="B612" s="1"/>
      <c r="C612" s="48" t="s">
        <v>27</v>
      </c>
      <c r="D612" s="62" t="s">
        <v>28</v>
      </c>
      <c r="E612" s="50">
        <v>22456</v>
      </c>
      <c r="F612" s="51">
        <v>51930</v>
      </c>
      <c r="G612" s="19"/>
      <c r="H612" s="26">
        <f t="shared" si="20"/>
        <v>29474</v>
      </c>
      <c r="I612" s="111">
        <f t="shared" si="21"/>
        <v>2.3125222657641609</v>
      </c>
    </row>
    <row r="613" spans="1:17" ht="12" customHeight="1">
      <c r="A613" s="1"/>
      <c r="B613" s="1"/>
      <c r="C613" s="48" t="s">
        <v>29</v>
      </c>
      <c r="D613" s="62" t="s">
        <v>30</v>
      </c>
      <c r="E613" s="50">
        <v>154000</v>
      </c>
      <c r="F613" s="51">
        <v>185900</v>
      </c>
      <c r="G613" s="19"/>
      <c r="H613" s="26">
        <f t="shared" si="20"/>
        <v>31900</v>
      </c>
      <c r="I613" s="111">
        <f t="shared" si="21"/>
        <v>1.2071428571428571</v>
      </c>
    </row>
    <row r="614" spans="1:17" ht="13.5" customHeight="1">
      <c r="A614" s="1"/>
      <c r="B614" s="1"/>
      <c r="C614" s="48" t="s">
        <v>31</v>
      </c>
      <c r="D614" s="62" t="s">
        <v>32</v>
      </c>
      <c r="E614" s="50">
        <v>7800</v>
      </c>
      <c r="F614" s="51">
        <v>7200</v>
      </c>
      <c r="G614" s="19"/>
      <c r="H614" s="26">
        <f t="shared" si="20"/>
        <v>-600</v>
      </c>
      <c r="I614" s="111">
        <f t="shared" si="21"/>
        <v>0.92307692307692313</v>
      </c>
    </row>
    <row r="615" spans="1:17" ht="19.5" customHeight="1">
      <c r="A615" s="1"/>
      <c r="B615" s="1"/>
      <c r="C615" s="48" t="s">
        <v>33</v>
      </c>
      <c r="D615" s="62" t="s">
        <v>34</v>
      </c>
      <c r="E615" s="50">
        <v>12120</v>
      </c>
      <c r="F615" s="51">
        <v>52400</v>
      </c>
      <c r="G615" s="19"/>
      <c r="H615" s="26">
        <f t="shared" si="20"/>
        <v>40280</v>
      </c>
      <c r="I615" s="111">
        <f t="shared" si="21"/>
        <v>4.3234323432343231</v>
      </c>
    </row>
    <row r="616" spans="1:17" ht="14.25" customHeight="1">
      <c r="A616" s="1"/>
      <c r="B616" s="1"/>
      <c r="C616" s="64">
        <v>3110</v>
      </c>
      <c r="D616" s="95" t="s">
        <v>175</v>
      </c>
      <c r="E616" s="66"/>
      <c r="F616" s="51">
        <v>76000</v>
      </c>
      <c r="G616" s="19"/>
      <c r="H616" s="26">
        <f t="shared" si="20"/>
        <v>76000</v>
      </c>
      <c r="I616" s="111"/>
    </row>
    <row r="617" spans="1:17" ht="16.5" hidden="1" customHeight="1">
      <c r="A617" s="1"/>
      <c r="B617" s="1"/>
      <c r="C617" s="71">
        <v>3132</v>
      </c>
      <c r="D617" s="72" t="s">
        <v>181</v>
      </c>
      <c r="E617" s="50"/>
      <c r="F617" s="74">
        <v>0</v>
      </c>
      <c r="G617" s="19"/>
      <c r="H617" s="26">
        <f t="shared" si="20"/>
        <v>0</v>
      </c>
      <c r="I617" s="111" t="e">
        <f t="shared" si="21"/>
        <v>#DIV/0!</v>
      </c>
    </row>
    <row r="618" spans="1:17" ht="23.25" customHeight="1">
      <c r="A618" s="1"/>
      <c r="B618" s="1"/>
      <c r="C618" s="44" t="s">
        <v>186</v>
      </c>
      <c r="D618" s="45" t="s">
        <v>187</v>
      </c>
      <c r="E618" s="46">
        <v>9522110</v>
      </c>
      <c r="F618" s="47">
        <f>F619+F620+F621+F622+F623+F624+F625+F626+F627+F628</f>
        <v>8684082</v>
      </c>
      <c r="G618" s="19"/>
      <c r="H618" s="18">
        <f t="shared" si="20"/>
        <v>-838028</v>
      </c>
      <c r="I618" s="110">
        <f t="shared" si="21"/>
        <v>0.91199135485727423</v>
      </c>
    </row>
    <row r="619" spans="1:17" ht="12" customHeight="1">
      <c r="A619" s="1"/>
      <c r="B619" s="1"/>
      <c r="C619" s="48" t="s">
        <v>13</v>
      </c>
      <c r="D619" s="62" t="s">
        <v>14</v>
      </c>
      <c r="E619" s="50">
        <v>6046909</v>
      </c>
      <c r="F619" s="51">
        <f>6605649-G619</f>
        <v>5589395</v>
      </c>
      <c r="G619" s="19">
        <v>1016254</v>
      </c>
      <c r="H619" s="26">
        <f t="shared" si="20"/>
        <v>-457514</v>
      </c>
      <c r="I619" s="111">
        <f t="shared" si="21"/>
        <v>0.92433919544679766</v>
      </c>
    </row>
    <row r="620" spans="1:17" ht="12" customHeight="1">
      <c r="A620" s="1"/>
      <c r="B620" s="1"/>
      <c r="C620" s="48" t="s">
        <v>15</v>
      </c>
      <c r="D620" s="62" t="s">
        <v>16</v>
      </c>
      <c r="E620" s="50">
        <v>1330320</v>
      </c>
      <c r="F620" s="51">
        <f>1453243-G620</f>
        <v>1229687</v>
      </c>
      <c r="G620" s="19">
        <v>223556</v>
      </c>
      <c r="H620" s="26">
        <f t="shared" si="20"/>
        <v>-100633</v>
      </c>
      <c r="I620" s="111">
        <f t="shared" si="21"/>
        <v>0.92435429069697517</v>
      </c>
    </row>
    <row r="621" spans="1:17" ht="14.25" customHeight="1">
      <c r="A621" s="1"/>
      <c r="B621" s="1"/>
      <c r="C621" s="48" t="s">
        <v>17</v>
      </c>
      <c r="D621" s="62" t="s">
        <v>18</v>
      </c>
      <c r="E621" s="50">
        <v>306000</v>
      </c>
      <c r="F621" s="51">
        <v>220000</v>
      </c>
      <c r="G621" s="19"/>
      <c r="H621" s="26">
        <f t="shared" si="20"/>
        <v>-86000</v>
      </c>
      <c r="I621" s="111">
        <f t="shared" si="21"/>
        <v>0.71895424836601307</v>
      </c>
    </row>
    <row r="622" spans="1:17" s="9" customFormat="1" ht="12" customHeight="1">
      <c r="A622" s="1"/>
      <c r="B622" s="1"/>
      <c r="C622" s="48" t="s">
        <v>19</v>
      </c>
      <c r="D622" s="62" t="s">
        <v>20</v>
      </c>
      <c r="E622" s="50">
        <v>226271</v>
      </c>
      <c r="F622" s="51">
        <v>120000</v>
      </c>
      <c r="G622" s="19"/>
      <c r="H622" s="26">
        <f t="shared" si="20"/>
        <v>-106271</v>
      </c>
      <c r="I622" s="111">
        <f t="shared" si="21"/>
        <v>0.53033751563390796</v>
      </c>
      <c r="J622"/>
      <c r="K622"/>
      <c r="L622"/>
      <c r="M622"/>
      <c r="N622"/>
      <c r="O622"/>
      <c r="P622"/>
      <c r="Q622"/>
    </row>
    <row r="623" spans="1:17" s="9" customFormat="1" ht="12" customHeight="1">
      <c r="A623" s="1"/>
      <c r="B623" s="1"/>
      <c r="C623" s="48" t="s">
        <v>23</v>
      </c>
      <c r="D623" s="62" t="s">
        <v>24</v>
      </c>
      <c r="E623" s="50">
        <v>75000</v>
      </c>
      <c r="F623" s="51">
        <v>100000</v>
      </c>
      <c r="G623" s="19"/>
      <c r="H623" s="26">
        <f t="shared" si="20"/>
        <v>25000</v>
      </c>
      <c r="I623" s="111">
        <f t="shared" si="21"/>
        <v>1.3333333333333333</v>
      </c>
      <c r="J623"/>
      <c r="K623"/>
      <c r="L623"/>
      <c r="M623"/>
      <c r="N623"/>
      <c r="O623"/>
      <c r="P623"/>
      <c r="Q623"/>
    </row>
    <row r="624" spans="1:17" s="9" customFormat="1" ht="14.25" customHeight="1">
      <c r="A624" s="1"/>
      <c r="B624" s="1"/>
      <c r="C624" s="48" t="s">
        <v>25</v>
      </c>
      <c r="D624" s="62" t="s">
        <v>26</v>
      </c>
      <c r="E624" s="50">
        <v>11976</v>
      </c>
      <c r="F624" s="51">
        <v>15000</v>
      </c>
      <c r="G624" s="19"/>
      <c r="H624" s="26">
        <f t="shared" si="20"/>
        <v>3024</v>
      </c>
      <c r="I624" s="111">
        <f t="shared" si="21"/>
        <v>1.2525050100200401</v>
      </c>
      <c r="J624"/>
      <c r="K624"/>
      <c r="L624"/>
      <c r="M624"/>
      <c r="N624"/>
      <c r="O624"/>
      <c r="P624"/>
      <c r="Q624"/>
    </row>
    <row r="625" spans="1:17" s="9" customFormat="1" ht="12" customHeight="1">
      <c r="A625" s="1"/>
      <c r="B625" s="1"/>
      <c r="C625" s="48" t="s">
        <v>27</v>
      </c>
      <c r="D625" s="62" t="s">
        <v>28</v>
      </c>
      <c r="E625" s="50">
        <v>1180771</v>
      </c>
      <c r="F625" s="51">
        <v>900000</v>
      </c>
      <c r="G625" s="19"/>
      <c r="H625" s="26">
        <f t="shared" si="20"/>
        <v>-280771</v>
      </c>
      <c r="I625" s="111">
        <f t="shared" si="21"/>
        <v>0.7622138416339832</v>
      </c>
      <c r="J625"/>
      <c r="K625"/>
      <c r="L625"/>
      <c r="M625"/>
      <c r="N625"/>
      <c r="O625"/>
      <c r="P625"/>
      <c r="Q625"/>
    </row>
    <row r="626" spans="1:17" s="9" customFormat="1" ht="12" customHeight="1">
      <c r="A626" s="1"/>
      <c r="B626" s="1"/>
      <c r="C626" s="48" t="s">
        <v>29</v>
      </c>
      <c r="D626" s="62" t="s">
        <v>30</v>
      </c>
      <c r="E626" s="50">
        <v>89863</v>
      </c>
      <c r="F626" s="51">
        <v>250000</v>
      </c>
      <c r="G626" s="19"/>
      <c r="H626" s="26">
        <f t="shared" si="20"/>
        <v>160137</v>
      </c>
      <c r="I626" s="111">
        <f t="shared" si="21"/>
        <v>2.7820126192092407</v>
      </c>
      <c r="J626"/>
      <c r="K626"/>
      <c r="L626"/>
      <c r="M626"/>
      <c r="N626"/>
      <c r="O626"/>
      <c r="P626"/>
      <c r="Q626"/>
    </row>
    <row r="627" spans="1:17" s="9" customFormat="1" ht="14.25" customHeight="1">
      <c r="A627" s="1"/>
      <c r="B627" s="1"/>
      <c r="C627" s="48" t="s">
        <v>31</v>
      </c>
      <c r="D627" s="62" t="s">
        <v>32</v>
      </c>
      <c r="E627" s="50">
        <v>255000</v>
      </c>
      <c r="F627" s="51">
        <v>239000</v>
      </c>
      <c r="G627" s="19"/>
      <c r="H627" s="26">
        <f t="shared" si="20"/>
        <v>-16000</v>
      </c>
      <c r="I627" s="111">
        <f t="shared" si="21"/>
        <v>0.93725490196078431</v>
      </c>
      <c r="J627"/>
      <c r="K627"/>
      <c r="L627"/>
      <c r="M627"/>
      <c r="N627"/>
      <c r="O627"/>
      <c r="P627"/>
      <c r="Q627"/>
    </row>
    <row r="628" spans="1:17" s="9" customFormat="1" ht="20.100000000000001" customHeight="1">
      <c r="A628" s="1"/>
      <c r="B628" s="1"/>
      <c r="C628" s="48">
        <v>2282</v>
      </c>
      <c r="D628" s="62" t="s">
        <v>34</v>
      </c>
      <c r="E628" s="50"/>
      <c r="F628" s="51">
        <v>21000</v>
      </c>
      <c r="G628" s="19"/>
      <c r="H628" s="26">
        <f t="shared" si="20"/>
        <v>21000</v>
      </c>
      <c r="I628" s="111"/>
      <c r="J628"/>
      <c r="K628"/>
      <c r="L628"/>
      <c r="M628"/>
      <c r="N628"/>
      <c r="O628"/>
      <c r="P628"/>
      <c r="Q628"/>
    </row>
    <row r="629" spans="1:17" s="9" customFormat="1" ht="22.5" customHeight="1">
      <c r="A629" s="1"/>
      <c r="B629" s="1"/>
      <c r="C629" s="44" t="s">
        <v>188</v>
      </c>
      <c r="D629" s="45" t="s">
        <v>189</v>
      </c>
      <c r="E629" s="46">
        <v>2654336</v>
      </c>
      <c r="F629" s="47">
        <f>F630+F631+F632</f>
        <v>866300</v>
      </c>
      <c r="G629" s="19"/>
      <c r="H629" s="18">
        <f t="shared" si="20"/>
        <v>-1788036</v>
      </c>
      <c r="I629" s="110">
        <f t="shared" si="21"/>
        <v>0.32637164247480349</v>
      </c>
      <c r="J629"/>
      <c r="K629"/>
      <c r="L629"/>
      <c r="M629"/>
      <c r="N629"/>
      <c r="O629"/>
      <c r="P629"/>
      <c r="Q629"/>
    </row>
    <row r="630" spans="1:17" s="9" customFormat="1" ht="12" customHeight="1">
      <c r="A630" s="1"/>
      <c r="B630" s="1"/>
      <c r="C630" s="48" t="s">
        <v>13</v>
      </c>
      <c r="D630" s="62" t="s">
        <v>14</v>
      </c>
      <c r="E630" s="50">
        <v>1191562</v>
      </c>
      <c r="F630" s="51">
        <v>0</v>
      </c>
      <c r="G630" s="19"/>
      <c r="H630" s="26">
        <f t="shared" si="20"/>
        <v>-1191562</v>
      </c>
      <c r="I630" s="111">
        <f t="shared" si="21"/>
        <v>0</v>
      </c>
      <c r="J630"/>
      <c r="K630"/>
      <c r="L630"/>
      <c r="M630"/>
      <c r="N630"/>
      <c r="O630"/>
      <c r="P630"/>
      <c r="Q630"/>
    </row>
    <row r="631" spans="1:17" s="9" customFormat="1" ht="12" customHeight="1">
      <c r="A631" s="1"/>
      <c r="B631" s="1"/>
      <c r="C631" s="48" t="s">
        <v>15</v>
      </c>
      <c r="D631" s="62" t="s">
        <v>16</v>
      </c>
      <c r="E631" s="50">
        <v>262354</v>
      </c>
      <c r="F631" s="51">
        <v>0</v>
      </c>
      <c r="G631" s="19"/>
      <c r="H631" s="26">
        <f t="shared" si="20"/>
        <v>-262354</v>
      </c>
      <c r="I631" s="111">
        <f t="shared" si="21"/>
        <v>0</v>
      </c>
      <c r="J631"/>
      <c r="K631"/>
      <c r="L631"/>
      <c r="M631"/>
      <c r="N631"/>
      <c r="O631"/>
      <c r="P631"/>
      <c r="Q631"/>
    </row>
    <row r="632" spans="1:17" s="9" customFormat="1" ht="13.5" customHeight="1">
      <c r="A632" s="1"/>
      <c r="B632" s="1"/>
      <c r="C632" s="48" t="s">
        <v>42</v>
      </c>
      <c r="D632" s="49" t="s">
        <v>190</v>
      </c>
      <c r="E632" s="50">
        <v>1200420</v>
      </c>
      <c r="F632" s="51">
        <v>866300</v>
      </c>
      <c r="G632" s="19"/>
      <c r="H632" s="26">
        <f t="shared" si="20"/>
        <v>-334120</v>
      </c>
      <c r="I632" s="111">
        <f t="shared" si="21"/>
        <v>0.72166408423718365</v>
      </c>
      <c r="J632"/>
      <c r="K632"/>
      <c r="L632"/>
      <c r="M632"/>
      <c r="N632"/>
      <c r="O632"/>
      <c r="P632"/>
      <c r="Q632"/>
    </row>
    <row r="633" spans="1:17" s="9" customFormat="1" ht="15.75" customHeight="1">
      <c r="A633" s="1"/>
      <c r="B633" s="1"/>
      <c r="C633" s="44" t="s">
        <v>191</v>
      </c>
      <c r="D633" s="45" t="s">
        <v>192</v>
      </c>
      <c r="E633" s="46">
        <v>1620000</v>
      </c>
      <c r="F633" s="47">
        <f>F634</f>
        <v>500000</v>
      </c>
      <c r="G633" s="19"/>
      <c r="H633" s="18">
        <f t="shared" si="20"/>
        <v>-1120000</v>
      </c>
      <c r="I633" s="110">
        <f t="shared" si="21"/>
        <v>0.30864197530864196</v>
      </c>
      <c r="J633"/>
      <c r="K633"/>
      <c r="L633"/>
      <c r="M633"/>
      <c r="N633"/>
      <c r="O633"/>
      <c r="P633"/>
      <c r="Q633"/>
    </row>
    <row r="634" spans="1:17" ht="18" customHeight="1">
      <c r="A634" s="1"/>
      <c r="B634" s="1"/>
      <c r="C634" s="48" t="s">
        <v>33</v>
      </c>
      <c r="D634" s="95" t="s">
        <v>193</v>
      </c>
      <c r="E634" s="50">
        <v>1530000</v>
      </c>
      <c r="F634" s="51">
        <v>500000</v>
      </c>
      <c r="G634" s="19"/>
      <c r="H634" s="26">
        <f t="shared" si="20"/>
        <v>-1030000</v>
      </c>
      <c r="I634" s="111">
        <f t="shared" si="21"/>
        <v>0.32679738562091504</v>
      </c>
    </row>
    <row r="635" spans="1:17" ht="22.5" customHeight="1">
      <c r="A635" s="1"/>
      <c r="B635" s="1"/>
      <c r="C635" s="44" t="s">
        <v>194</v>
      </c>
      <c r="D635" s="45" t="s">
        <v>195</v>
      </c>
      <c r="E635" s="46">
        <v>5000000</v>
      </c>
      <c r="F635" s="47">
        <f>F636+F637+F638+F639+F640+F641</f>
        <v>5000000</v>
      </c>
      <c r="G635" s="19"/>
      <c r="H635" s="18">
        <f t="shared" si="20"/>
        <v>0</v>
      </c>
      <c r="I635" s="110">
        <f t="shared" si="21"/>
        <v>1</v>
      </c>
    </row>
    <row r="636" spans="1:17" ht="12" customHeight="1">
      <c r="A636" s="1"/>
      <c r="B636" s="1"/>
      <c r="C636" s="48" t="s">
        <v>13</v>
      </c>
      <c r="D636" s="62" t="s">
        <v>14</v>
      </c>
      <c r="E636" s="50">
        <v>3883426</v>
      </c>
      <c r="F636" s="51">
        <v>3661655</v>
      </c>
      <c r="G636" s="19"/>
      <c r="H636" s="26">
        <f t="shared" si="20"/>
        <v>-221771</v>
      </c>
      <c r="I636" s="111">
        <f t="shared" si="21"/>
        <v>0.94289295070898738</v>
      </c>
    </row>
    <row r="637" spans="1:17" s="43" customFormat="1" ht="12" customHeight="1">
      <c r="A637" s="1"/>
      <c r="B637" s="1"/>
      <c r="C637" s="48" t="s">
        <v>15</v>
      </c>
      <c r="D637" s="62" t="s">
        <v>16</v>
      </c>
      <c r="E637" s="50">
        <v>815409</v>
      </c>
      <c r="F637" s="51">
        <v>773345</v>
      </c>
      <c r="G637" s="19"/>
      <c r="H637" s="26">
        <f t="shared" si="20"/>
        <v>-42064</v>
      </c>
      <c r="I637" s="111">
        <f t="shared" si="21"/>
        <v>0.94841361819651238</v>
      </c>
      <c r="J637"/>
      <c r="K637"/>
      <c r="L637"/>
      <c r="M637"/>
      <c r="N637"/>
      <c r="O637"/>
      <c r="P637"/>
      <c r="Q637"/>
    </row>
    <row r="638" spans="1:17" s="43" customFormat="1" ht="12.75" customHeight="1">
      <c r="A638" s="1"/>
      <c r="B638" s="1"/>
      <c r="C638" s="48" t="s">
        <v>17</v>
      </c>
      <c r="D638" s="62" t="s">
        <v>18</v>
      </c>
      <c r="E638" s="50">
        <v>113165</v>
      </c>
      <c r="F638" s="51">
        <v>100000</v>
      </c>
      <c r="G638" s="19"/>
      <c r="H638" s="26">
        <f t="shared" si="20"/>
        <v>-13165</v>
      </c>
      <c r="I638" s="111">
        <f t="shared" si="21"/>
        <v>0.88366544426280214</v>
      </c>
      <c r="J638"/>
      <c r="K638"/>
      <c r="L638"/>
      <c r="M638"/>
      <c r="N638"/>
      <c r="O638"/>
      <c r="P638"/>
      <c r="Q638"/>
    </row>
    <row r="639" spans="1:17" s="43" customFormat="1" ht="12" customHeight="1">
      <c r="A639" s="1"/>
      <c r="B639" s="1"/>
      <c r="C639" s="48" t="s">
        <v>19</v>
      </c>
      <c r="D639" s="62" t="s">
        <v>20</v>
      </c>
      <c r="E639" s="50">
        <v>133000</v>
      </c>
      <c r="F639" s="51">
        <v>100000</v>
      </c>
      <c r="G639" s="19"/>
      <c r="H639" s="26">
        <f t="shared" si="20"/>
        <v>-33000</v>
      </c>
      <c r="I639" s="111">
        <f t="shared" si="21"/>
        <v>0.75187969924812026</v>
      </c>
      <c r="J639"/>
      <c r="K639"/>
      <c r="L639"/>
      <c r="M639"/>
      <c r="N639"/>
      <c r="O639"/>
      <c r="P639"/>
      <c r="Q639"/>
    </row>
    <row r="640" spans="1:17" s="43" customFormat="1" ht="12" customHeight="1">
      <c r="A640" s="1"/>
      <c r="B640" s="1"/>
      <c r="C640" s="48" t="s">
        <v>23</v>
      </c>
      <c r="D640" s="62" t="s">
        <v>24</v>
      </c>
      <c r="E640" s="50">
        <v>50000</v>
      </c>
      <c r="F640" s="51">
        <v>360000</v>
      </c>
      <c r="G640" s="19"/>
      <c r="H640" s="26">
        <f t="shared" si="20"/>
        <v>310000</v>
      </c>
      <c r="I640" s="111">
        <f t="shared" si="21"/>
        <v>7.2</v>
      </c>
      <c r="J640"/>
      <c r="K640"/>
      <c r="L640"/>
      <c r="M640"/>
      <c r="N640"/>
      <c r="O640"/>
      <c r="P640"/>
      <c r="Q640"/>
    </row>
    <row r="641" spans="1:17" s="43" customFormat="1" ht="14.25" customHeight="1">
      <c r="A641" s="1"/>
      <c r="B641" s="1"/>
      <c r="C641" s="48" t="s">
        <v>25</v>
      </c>
      <c r="D641" s="62" t="s">
        <v>26</v>
      </c>
      <c r="E641" s="50">
        <v>5000</v>
      </c>
      <c r="F641" s="51">
        <v>5000</v>
      </c>
      <c r="G641" s="19"/>
      <c r="H641" s="26">
        <f t="shared" si="20"/>
        <v>0</v>
      </c>
      <c r="I641" s="111">
        <f t="shared" si="21"/>
        <v>1</v>
      </c>
      <c r="J641"/>
      <c r="K641"/>
      <c r="L641"/>
      <c r="M641"/>
      <c r="N641"/>
      <c r="O641"/>
      <c r="P641"/>
      <c r="Q641"/>
    </row>
    <row r="642" spans="1:17" s="43" customFormat="1" ht="22.5" customHeight="1">
      <c r="A642" s="1"/>
      <c r="B642" s="1"/>
      <c r="C642" s="44" t="s">
        <v>196</v>
      </c>
      <c r="D642" s="45" t="s">
        <v>197</v>
      </c>
      <c r="E642" s="46">
        <v>341660</v>
      </c>
      <c r="F642" s="47">
        <f>F643+F644</f>
        <v>342600</v>
      </c>
      <c r="G642" s="19"/>
      <c r="H642" s="18">
        <f t="shared" si="20"/>
        <v>940</v>
      </c>
      <c r="I642" s="110">
        <f t="shared" si="21"/>
        <v>1.0027512731955746</v>
      </c>
      <c r="J642"/>
      <c r="K642"/>
      <c r="L642"/>
      <c r="M642"/>
      <c r="N642"/>
      <c r="O642"/>
      <c r="P642"/>
      <c r="Q642"/>
    </row>
    <row r="643" spans="1:17" s="43" customFormat="1" ht="13.5" customHeight="1">
      <c r="A643" s="1"/>
      <c r="B643" s="1"/>
      <c r="C643" s="48" t="s">
        <v>33</v>
      </c>
      <c r="D643" s="49" t="s">
        <v>198</v>
      </c>
      <c r="E643" s="50">
        <v>341660</v>
      </c>
      <c r="F643" s="51">
        <v>211600</v>
      </c>
      <c r="G643" s="19"/>
      <c r="H643" s="26">
        <f t="shared" si="20"/>
        <v>-130060</v>
      </c>
      <c r="I643" s="111">
        <f t="shared" si="21"/>
        <v>0.61932915764210028</v>
      </c>
      <c r="J643"/>
      <c r="K643"/>
      <c r="L643"/>
      <c r="M643"/>
      <c r="N643"/>
      <c r="O643"/>
      <c r="P643"/>
      <c r="Q643"/>
    </row>
    <row r="644" spans="1:17" s="43" customFormat="1" ht="15.75" customHeight="1">
      <c r="A644" s="1"/>
      <c r="B644" s="1"/>
      <c r="C644" s="48" t="s">
        <v>33</v>
      </c>
      <c r="D644" s="49" t="s">
        <v>199</v>
      </c>
      <c r="E644" s="50">
        <v>341660</v>
      </c>
      <c r="F644" s="51">
        <v>131000</v>
      </c>
      <c r="G644" s="19"/>
      <c r="H644" s="26">
        <f t="shared" si="20"/>
        <v>-210660</v>
      </c>
      <c r="I644" s="111">
        <f t="shared" si="21"/>
        <v>0.38342211555347422</v>
      </c>
      <c r="J644"/>
      <c r="K644"/>
      <c r="L644"/>
      <c r="M644"/>
      <c r="N644"/>
      <c r="O644"/>
      <c r="P644"/>
      <c r="Q644"/>
    </row>
    <row r="645" spans="1:17" s="43" customFormat="1" ht="21.75" customHeight="1">
      <c r="A645" s="1"/>
      <c r="B645" s="1"/>
      <c r="C645" s="44" t="s">
        <v>200</v>
      </c>
      <c r="D645" s="52" t="s">
        <v>201</v>
      </c>
      <c r="E645" s="46">
        <v>4500170</v>
      </c>
      <c r="F645" s="47">
        <f>F646</f>
        <v>5000000</v>
      </c>
      <c r="G645" s="19"/>
      <c r="H645" s="18">
        <f t="shared" si="20"/>
        <v>499830</v>
      </c>
      <c r="I645" s="110">
        <f t="shared" si="21"/>
        <v>1.1110691373881432</v>
      </c>
      <c r="J645"/>
      <c r="K645"/>
      <c r="L645"/>
      <c r="M645"/>
      <c r="N645"/>
      <c r="O645"/>
      <c r="P645"/>
      <c r="Q645"/>
    </row>
    <row r="646" spans="1:17" s="43" customFormat="1" ht="24.75" customHeight="1">
      <c r="A646" s="1"/>
      <c r="B646" s="1"/>
      <c r="C646" s="48" t="s">
        <v>42</v>
      </c>
      <c r="D646" s="62" t="s">
        <v>137</v>
      </c>
      <c r="E646" s="50">
        <v>4500170</v>
      </c>
      <c r="F646" s="51">
        <v>5000000</v>
      </c>
      <c r="G646" s="19"/>
      <c r="H646" s="26">
        <f t="shared" si="20"/>
        <v>499830</v>
      </c>
      <c r="I646" s="111">
        <f t="shared" si="21"/>
        <v>1.1110691373881432</v>
      </c>
      <c r="J646"/>
      <c r="K646"/>
      <c r="L646"/>
      <c r="M646"/>
      <c r="N646"/>
      <c r="O646"/>
      <c r="P646"/>
      <c r="Q646"/>
    </row>
    <row r="647" spans="1:17" s="43" customFormat="1" ht="24.75" customHeight="1">
      <c r="A647" s="1"/>
      <c r="B647" s="1"/>
      <c r="C647" s="44" t="s">
        <v>202</v>
      </c>
      <c r="D647" s="45" t="s">
        <v>203</v>
      </c>
      <c r="E647" s="46">
        <v>2000406</v>
      </c>
      <c r="F647" s="47">
        <f>F648</f>
        <v>4624025</v>
      </c>
      <c r="G647" s="19"/>
      <c r="H647" s="18">
        <f t="shared" si="20"/>
        <v>2623619</v>
      </c>
      <c r="I647" s="110">
        <f t="shared" si="21"/>
        <v>2.3115432567188861</v>
      </c>
      <c r="J647"/>
      <c r="K647"/>
      <c r="L647"/>
      <c r="M647"/>
      <c r="N647"/>
      <c r="O647"/>
      <c r="P647"/>
      <c r="Q647"/>
    </row>
    <row r="648" spans="1:17" s="43" customFormat="1" ht="20.25" customHeight="1">
      <c r="A648" s="1"/>
      <c r="B648" s="1"/>
      <c r="C648" s="44" t="s">
        <v>204</v>
      </c>
      <c r="D648" s="45" t="s">
        <v>12</v>
      </c>
      <c r="E648" s="46">
        <v>2000406</v>
      </c>
      <c r="F648" s="47">
        <f>F649+F650+F651+F652</f>
        <v>4624025</v>
      </c>
      <c r="G648" s="19"/>
      <c r="H648" s="18">
        <f t="shared" si="20"/>
        <v>2623619</v>
      </c>
      <c r="I648" s="110">
        <f t="shared" si="21"/>
        <v>2.3115432567188861</v>
      </c>
      <c r="J648"/>
      <c r="K648"/>
      <c r="L648"/>
      <c r="M648"/>
      <c r="N648"/>
      <c r="O648"/>
      <c r="P648"/>
      <c r="Q648"/>
    </row>
    <row r="649" spans="1:17" s="43" customFormat="1" ht="12" customHeight="1">
      <c r="A649" s="1"/>
      <c r="B649" s="1"/>
      <c r="C649" s="48" t="s">
        <v>13</v>
      </c>
      <c r="D649" s="62" t="s">
        <v>14</v>
      </c>
      <c r="E649" s="50">
        <v>1541580</v>
      </c>
      <c r="F649" s="51">
        <v>3626250</v>
      </c>
      <c r="G649" s="19"/>
      <c r="H649" s="26">
        <f t="shared" si="20"/>
        <v>2084670</v>
      </c>
      <c r="I649" s="111">
        <f t="shared" si="21"/>
        <v>2.3522943992527146</v>
      </c>
      <c r="J649"/>
      <c r="K649"/>
      <c r="L649"/>
      <c r="M649"/>
      <c r="N649"/>
      <c r="O649"/>
      <c r="P649"/>
      <c r="Q649"/>
    </row>
    <row r="650" spans="1:17" s="43" customFormat="1" ht="12" customHeight="1">
      <c r="A650" s="1"/>
      <c r="B650" s="1"/>
      <c r="C650" s="48" t="s">
        <v>15</v>
      </c>
      <c r="D650" s="62" t="s">
        <v>16</v>
      </c>
      <c r="E650" s="50">
        <v>337026</v>
      </c>
      <c r="F650" s="51">
        <v>797775</v>
      </c>
      <c r="G650" s="19"/>
      <c r="H650" s="26">
        <f t="shared" ref="H650:H665" si="22">F650-E650</f>
        <v>460749</v>
      </c>
      <c r="I650" s="111">
        <f t="shared" ref="I650:I665" si="23">F650/E650</f>
        <v>2.3671022413701022</v>
      </c>
      <c r="J650"/>
      <c r="K650"/>
      <c r="L650"/>
      <c r="M650"/>
      <c r="N650"/>
      <c r="O650"/>
      <c r="P650"/>
      <c r="Q650"/>
    </row>
    <row r="651" spans="1:17" s="43" customFormat="1" ht="14.25" customHeight="1">
      <c r="A651" s="1"/>
      <c r="B651" s="1"/>
      <c r="C651" s="48" t="s">
        <v>17</v>
      </c>
      <c r="D651" s="62" t="s">
        <v>18</v>
      </c>
      <c r="E651" s="50">
        <v>71800</v>
      </c>
      <c r="F651" s="51">
        <v>100000</v>
      </c>
      <c r="G651" s="19"/>
      <c r="H651" s="26">
        <f t="shared" si="22"/>
        <v>28200</v>
      </c>
      <c r="I651" s="111">
        <f t="shared" si="23"/>
        <v>1.392757660167131</v>
      </c>
      <c r="J651"/>
      <c r="K651"/>
      <c r="L651"/>
      <c r="M651"/>
      <c r="N651"/>
      <c r="O651"/>
      <c r="P651"/>
      <c r="Q651"/>
    </row>
    <row r="652" spans="1:17" s="43" customFormat="1" ht="12" customHeight="1">
      <c r="A652" s="1"/>
      <c r="B652" s="1"/>
      <c r="C652" s="48" t="s">
        <v>19</v>
      </c>
      <c r="D652" s="62" t="s">
        <v>20</v>
      </c>
      <c r="E652" s="50">
        <v>50000</v>
      </c>
      <c r="F652" s="51">
        <v>100000</v>
      </c>
      <c r="G652" s="19"/>
      <c r="H652" s="26">
        <f t="shared" si="22"/>
        <v>50000</v>
      </c>
      <c r="I652" s="111">
        <f t="shared" si="23"/>
        <v>2</v>
      </c>
      <c r="J652"/>
      <c r="K652"/>
      <c r="L652"/>
      <c r="M652"/>
      <c r="N652"/>
      <c r="O652"/>
      <c r="P652"/>
      <c r="Q652"/>
    </row>
    <row r="653" spans="1:17" ht="15.75" customHeight="1">
      <c r="A653" s="1"/>
      <c r="B653" s="1"/>
      <c r="C653" s="44" t="s">
        <v>205</v>
      </c>
      <c r="D653" s="45" t="s">
        <v>206</v>
      </c>
      <c r="E653" s="46">
        <v>80688696</v>
      </c>
      <c r="F653" s="46">
        <f>F654+F659+F662+F664</f>
        <v>77662068</v>
      </c>
      <c r="G653" s="19"/>
      <c r="H653" s="18">
        <f t="shared" si="22"/>
        <v>-3026628</v>
      </c>
      <c r="I653" s="110">
        <f t="shared" si="23"/>
        <v>0.96249006180493979</v>
      </c>
    </row>
    <row r="654" spans="1:17" ht="21.75" customHeight="1">
      <c r="A654" s="1"/>
      <c r="B654" s="1"/>
      <c r="C654" s="44" t="s">
        <v>207</v>
      </c>
      <c r="D654" s="45" t="s">
        <v>12</v>
      </c>
      <c r="E654" s="46">
        <v>3285000</v>
      </c>
      <c r="F654" s="46">
        <f>F655+F656+F657+F658</f>
        <v>4847000</v>
      </c>
      <c r="G654" s="19"/>
      <c r="H654" s="18">
        <f t="shared" si="22"/>
        <v>1562000</v>
      </c>
      <c r="I654" s="110">
        <f t="shared" si="23"/>
        <v>1.4754946727549467</v>
      </c>
    </row>
    <row r="655" spans="1:17" s="19" customFormat="1" ht="12" customHeight="1">
      <c r="A655" s="1"/>
      <c r="B655" s="1"/>
      <c r="C655" s="48" t="s">
        <v>13</v>
      </c>
      <c r="D655" s="62" t="s">
        <v>14</v>
      </c>
      <c r="E655" s="50">
        <v>3313900</v>
      </c>
      <c r="F655" s="50">
        <v>3751700</v>
      </c>
      <c r="H655" s="26">
        <f t="shared" si="22"/>
        <v>437800</v>
      </c>
      <c r="I655" s="111">
        <f t="shared" si="23"/>
        <v>1.132110202480461</v>
      </c>
      <c r="J655"/>
      <c r="K655"/>
      <c r="L655"/>
      <c r="M655"/>
      <c r="N655"/>
      <c r="O655"/>
      <c r="P655"/>
      <c r="Q655"/>
    </row>
    <row r="656" spans="1:17" s="19" customFormat="1" ht="12" customHeight="1">
      <c r="A656" s="1"/>
      <c r="B656" s="1"/>
      <c r="C656" s="48" t="s">
        <v>15</v>
      </c>
      <c r="D656" s="62" t="s">
        <v>16</v>
      </c>
      <c r="E656" s="50">
        <v>729100</v>
      </c>
      <c r="F656" s="50">
        <v>845300</v>
      </c>
      <c r="H656" s="26">
        <f t="shared" si="22"/>
        <v>116200</v>
      </c>
      <c r="I656" s="111">
        <f t="shared" si="23"/>
        <v>1.1593745713893842</v>
      </c>
      <c r="J656"/>
      <c r="K656"/>
      <c r="L656"/>
      <c r="M656"/>
      <c r="N656"/>
      <c r="O656"/>
      <c r="P656"/>
      <c r="Q656"/>
    </row>
    <row r="657" spans="1:17" s="19" customFormat="1" ht="12.75" customHeight="1">
      <c r="A657" s="1"/>
      <c r="B657" s="1"/>
      <c r="C657" s="48" t="s">
        <v>17</v>
      </c>
      <c r="D657" s="62" t="s">
        <v>18</v>
      </c>
      <c r="E657" s="50">
        <v>170000</v>
      </c>
      <c r="F657" s="50">
        <v>150000</v>
      </c>
      <c r="H657" s="26">
        <f t="shared" si="22"/>
        <v>-20000</v>
      </c>
      <c r="I657" s="111">
        <f t="shared" si="23"/>
        <v>0.88235294117647056</v>
      </c>
      <c r="J657"/>
      <c r="K657"/>
      <c r="L657"/>
      <c r="M657"/>
      <c r="N657"/>
      <c r="O657"/>
      <c r="P657"/>
      <c r="Q657"/>
    </row>
    <row r="658" spans="1:17" s="19" customFormat="1" ht="12" customHeight="1">
      <c r="A658" s="1"/>
      <c r="B658" s="1"/>
      <c r="C658" s="48" t="s">
        <v>19</v>
      </c>
      <c r="D658" s="62" t="s">
        <v>20</v>
      </c>
      <c r="E658" s="50">
        <v>120000</v>
      </c>
      <c r="F658" s="50">
        <v>100000</v>
      </c>
      <c r="H658" s="26">
        <f t="shared" si="22"/>
        <v>-20000</v>
      </c>
      <c r="I658" s="111">
        <f t="shared" si="23"/>
        <v>0.83333333333333337</v>
      </c>
      <c r="J658"/>
      <c r="K658"/>
      <c r="L658"/>
      <c r="M658"/>
      <c r="N658"/>
      <c r="O658"/>
      <c r="P658"/>
      <c r="Q658"/>
    </row>
    <row r="659" spans="1:17" s="19" customFormat="1" ht="12.75" customHeight="1">
      <c r="A659" s="1"/>
      <c r="B659" s="1"/>
      <c r="C659" s="44" t="s">
        <v>208</v>
      </c>
      <c r="D659" s="45" t="s">
        <v>209</v>
      </c>
      <c r="E659" s="46">
        <v>76678</v>
      </c>
      <c r="F659" s="46">
        <f>F660</f>
        <v>1000000</v>
      </c>
      <c r="H659" s="18">
        <f t="shared" si="22"/>
        <v>923322</v>
      </c>
      <c r="I659" s="110">
        <f t="shared" si="23"/>
        <v>13.041550379509117</v>
      </c>
      <c r="J659"/>
      <c r="K659"/>
      <c r="L659"/>
      <c r="M659"/>
      <c r="N659"/>
      <c r="O659"/>
      <c r="P659"/>
      <c r="Q659"/>
    </row>
    <row r="660" spans="1:17" s="19" customFormat="1" ht="12" customHeight="1">
      <c r="A660" s="1"/>
      <c r="B660" s="1"/>
      <c r="C660" s="44" t="s">
        <v>210</v>
      </c>
      <c r="D660" s="45" t="s">
        <v>211</v>
      </c>
      <c r="E660" s="46">
        <v>76678</v>
      </c>
      <c r="F660" s="46">
        <f>F661</f>
        <v>1000000</v>
      </c>
      <c r="H660" s="18">
        <f t="shared" si="22"/>
        <v>923322</v>
      </c>
      <c r="I660" s="110">
        <f t="shared" si="23"/>
        <v>13.041550379509117</v>
      </c>
      <c r="J660"/>
      <c r="K660"/>
      <c r="L660"/>
      <c r="M660"/>
      <c r="N660"/>
      <c r="O660"/>
      <c r="P660"/>
      <c r="Q660"/>
    </row>
    <row r="661" spans="1:17" s="19" customFormat="1" ht="14.25" customHeight="1">
      <c r="A661" s="1"/>
      <c r="B661" s="1"/>
      <c r="C661" s="48" t="s">
        <v>212</v>
      </c>
      <c r="D661" s="62" t="s">
        <v>213</v>
      </c>
      <c r="E661" s="50">
        <v>76678</v>
      </c>
      <c r="F661" s="50">
        <v>1000000</v>
      </c>
      <c r="H661" s="26">
        <f t="shared" si="22"/>
        <v>923322</v>
      </c>
      <c r="I661" s="111">
        <f t="shared" si="23"/>
        <v>13.041550379509117</v>
      </c>
      <c r="J661"/>
      <c r="K661"/>
      <c r="L661"/>
      <c r="M661"/>
      <c r="N661"/>
      <c r="O661"/>
      <c r="P661"/>
      <c r="Q661"/>
    </row>
    <row r="662" spans="1:17" s="19" customFormat="1" ht="13.5" customHeight="1">
      <c r="A662" s="1"/>
      <c r="B662" s="1"/>
      <c r="C662" s="44" t="s">
        <v>214</v>
      </c>
      <c r="D662" s="45" t="s">
        <v>215</v>
      </c>
      <c r="E662" s="46">
        <v>74497000</v>
      </c>
      <c r="F662" s="46">
        <f>F663</f>
        <v>71637300</v>
      </c>
      <c r="H662" s="18">
        <f t="shared" si="22"/>
        <v>-2859700</v>
      </c>
      <c r="I662" s="110">
        <f t="shared" si="23"/>
        <v>0.96161321932426813</v>
      </c>
      <c r="J662"/>
      <c r="K662"/>
      <c r="L662"/>
      <c r="M662"/>
      <c r="N662"/>
      <c r="O662"/>
      <c r="P662"/>
      <c r="Q662"/>
    </row>
    <row r="663" spans="1:17" s="19" customFormat="1" ht="17.25" customHeight="1">
      <c r="A663" s="1"/>
      <c r="B663" s="1"/>
      <c r="C663" s="48" t="s">
        <v>216</v>
      </c>
      <c r="D663" s="62" t="s">
        <v>217</v>
      </c>
      <c r="E663" s="50">
        <v>74497000</v>
      </c>
      <c r="F663" s="50">
        <f>74273200-2635900</f>
        <v>71637300</v>
      </c>
      <c r="H663" s="26">
        <f t="shared" si="22"/>
        <v>-2859700</v>
      </c>
      <c r="I663" s="111">
        <f t="shared" si="23"/>
        <v>0.96161321932426813</v>
      </c>
      <c r="J663"/>
      <c r="K663"/>
      <c r="L663"/>
      <c r="M663"/>
      <c r="N663"/>
      <c r="O663"/>
      <c r="P663"/>
      <c r="Q663"/>
    </row>
    <row r="664" spans="1:17" s="19" customFormat="1" ht="12" customHeight="1">
      <c r="A664" s="1"/>
      <c r="B664" s="1"/>
      <c r="C664" s="44" t="s">
        <v>218</v>
      </c>
      <c r="D664" s="45" t="s">
        <v>219</v>
      </c>
      <c r="E664" s="46">
        <v>2830018</v>
      </c>
      <c r="F664" s="46">
        <f>F665</f>
        <v>177768</v>
      </c>
      <c r="H664" s="18">
        <f t="shared" si="22"/>
        <v>-2652250</v>
      </c>
      <c r="I664" s="110">
        <f t="shared" si="23"/>
        <v>6.2815148172202434E-2</v>
      </c>
      <c r="J664"/>
      <c r="K664"/>
      <c r="L664"/>
      <c r="M664"/>
      <c r="N664"/>
      <c r="O664"/>
      <c r="P664"/>
      <c r="Q664"/>
    </row>
    <row r="665" spans="1:17" s="19" customFormat="1" ht="18.75" customHeight="1">
      <c r="A665" s="1"/>
      <c r="B665" s="1"/>
      <c r="C665" s="48" t="s">
        <v>216</v>
      </c>
      <c r="D665" s="62" t="s">
        <v>217</v>
      </c>
      <c r="E665" s="50">
        <v>2830018</v>
      </c>
      <c r="F665" s="50">
        <v>177768</v>
      </c>
      <c r="H665" s="26">
        <f t="shared" si="22"/>
        <v>-2652250</v>
      </c>
      <c r="I665" s="111">
        <f t="shared" si="23"/>
        <v>6.2815148172202434E-2</v>
      </c>
      <c r="J665"/>
      <c r="K665"/>
      <c r="L665"/>
      <c r="M665"/>
      <c r="N665"/>
      <c r="O665"/>
      <c r="P665"/>
      <c r="Q665"/>
    </row>
    <row r="666" spans="1:17" s="19" customFormat="1" ht="18.75" customHeight="1" thickBot="1">
      <c r="A666" s="1"/>
      <c r="B666" s="1"/>
      <c r="C666" s="147" t="s">
        <v>220</v>
      </c>
      <c r="D666" s="148"/>
      <c r="E666" s="121">
        <v>732588660</v>
      </c>
      <c r="F666" s="122">
        <f>F653+F647+F565+F554+F521+F77+F7</f>
        <v>730170365.40808952</v>
      </c>
      <c r="G666" s="116"/>
      <c r="H666" s="18">
        <v>14706365</v>
      </c>
      <c r="I666" s="110">
        <v>1.0269999999999999</v>
      </c>
      <c r="J666"/>
      <c r="K666"/>
      <c r="L666"/>
      <c r="M666"/>
      <c r="N666"/>
      <c r="O666"/>
      <c r="P666"/>
      <c r="Q666"/>
    </row>
    <row r="667" spans="1:17" s="19" customFormat="1" ht="18.75" customHeight="1">
      <c r="A667" s="1"/>
      <c r="B667" s="1"/>
      <c r="C667" s="130" t="s">
        <v>227</v>
      </c>
      <c r="D667" s="131"/>
      <c r="E667" s="126"/>
      <c r="F667" s="127"/>
      <c r="G667" s="120"/>
      <c r="H667" s="118"/>
      <c r="I667" s="119"/>
      <c r="J667"/>
      <c r="K667"/>
      <c r="L667"/>
      <c r="M667"/>
      <c r="N667"/>
      <c r="O667"/>
      <c r="P667"/>
      <c r="Q667"/>
    </row>
    <row r="668" spans="1:17" s="19" customFormat="1" ht="30.75" customHeight="1">
      <c r="A668"/>
      <c r="B668"/>
      <c r="C668" s="149" t="s">
        <v>221</v>
      </c>
      <c r="D668" s="150"/>
      <c r="E668" s="99"/>
      <c r="F668" s="100">
        <v>2576700</v>
      </c>
      <c r="G668" s="123"/>
      <c r="H668" s="112"/>
      <c r="I668" s="113"/>
      <c r="J668"/>
      <c r="K668"/>
      <c r="L668"/>
      <c r="M668"/>
      <c r="N668"/>
      <c r="O668"/>
      <c r="P668"/>
      <c r="Q668"/>
    </row>
    <row r="669" spans="1:17" s="19" customFormat="1">
      <c r="A669"/>
      <c r="B669"/>
      <c r="C669" s="151" t="s">
        <v>222</v>
      </c>
      <c r="D669" s="152"/>
      <c r="E669" s="102"/>
      <c r="F669" s="103">
        <v>162234300</v>
      </c>
      <c r="G669" s="124"/>
      <c r="H669" s="112"/>
      <c r="I669" s="113"/>
      <c r="J669"/>
      <c r="K669"/>
      <c r="L669"/>
      <c r="M669"/>
      <c r="N669"/>
      <c r="O669"/>
      <c r="P669"/>
      <c r="Q669"/>
    </row>
    <row r="670" spans="1:17" s="19" customFormat="1" ht="23.25" customHeight="1">
      <c r="A670"/>
      <c r="B670"/>
      <c r="C670" s="153" t="s">
        <v>230</v>
      </c>
      <c r="D670" s="154"/>
      <c r="E670" s="104"/>
      <c r="F670" s="103">
        <v>1360600</v>
      </c>
      <c r="G670" s="124"/>
      <c r="H670" s="112"/>
      <c r="I670" s="113"/>
      <c r="J670"/>
      <c r="K670"/>
      <c r="L670"/>
      <c r="M670"/>
      <c r="N670"/>
      <c r="O670"/>
      <c r="P670"/>
      <c r="Q670"/>
    </row>
    <row r="671" spans="1:17" s="19" customFormat="1">
      <c r="A671"/>
      <c r="B671"/>
      <c r="C671" s="128" t="s">
        <v>223</v>
      </c>
      <c r="D671" s="129"/>
      <c r="E671" s="102"/>
      <c r="F671" s="103">
        <f>F21+F41+F54+F57+F62+F59+F66+F67+F98+F542+F560+F584+F601+F616+F486+F271</f>
        <v>19027870</v>
      </c>
      <c r="G671" s="125"/>
      <c r="H671" s="112"/>
      <c r="I671" s="113"/>
      <c r="J671"/>
      <c r="K671"/>
      <c r="L671"/>
      <c r="M671"/>
      <c r="N671"/>
      <c r="O671"/>
      <c r="P671"/>
      <c r="Q671"/>
    </row>
    <row r="672" spans="1:17">
      <c r="G672" s="101"/>
    </row>
    <row r="676" spans="4:12" ht="15">
      <c r="D676" s="105"/>
      <c r="F676" s="107"/>
      <c r="H676" s="5"/>
      <c r="I676" s="108"/>
      <c r="J676" s="5"/>
      <c r="K676" s="5"/>
      <c r="L676" s="5"/>
    </row>
    <row r="677" spans="4:12" ht="15">
      <c r="D677" s="105"/>
      <c r="F677" s="107"/>
    </row>
    <row r="678" spans="4:12" ht="15">
      <c r="D678" s="105"/>
      <c r="F678" s="107"/>
    </row>
    <row r="680" spans="4:12">
      <c r="F680" s="5" t="s">
        <v>224</v>
      </c>
    </row>
  </sheetData>
  <mergeCells count="16">
    <mergeCell ref="C671:D671"/>
    <mergeCell ref="C667:D667"/>
    <mergeCell ref="C1:D1"/>
    <mergeCell ref="C2:I2"/>
    <mergeCell ref="C3:E3"/>
    <mergeCell ref="C4:D4"/>
    <mergeCell ref="C5:C6"/>
    <mergeCell ref="D5:D6"/>
    <mergeCell ref="E5:E6"/>
    <mergeCell ref="F5:F6"/>
    <mergeCell ref="H5:H6"/>
    <mergeCell ref="I5:I6"/>
    <mergeCell ref="C666:D666"/>
    <mergeCell ref="C668:D668"/>
    <mergeCell ref="C669:D669"/>
    <mergeCell ref="C670:D670"/>
  </mergeCells>
  <pageMargins left="0.27559055118110237" right="0.27559055118110237" top="0.27559055118110237" bottom="0.27559055118110237" header="0.51181102362204722" footer="0.51181102362204722"/>
  <pageSetup paperSize="9" scale="75" pageOrder="overThenDown" orientation="portrait" r:id="rId1"/>
  <headerFooter alignWithMargins="0"/>
  <rowBreaks count="4" manualBreakCount="4">
    <brk id="60" max="8" man="1"/>
    <brk id="517" max="8" man="1"/>
    <brk id="588" max="8" man="1"/>
    <brk id="6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Порівняльна</vt:lpstr>
      <vt:lpstr>Порівняльна!Область_печати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Marina_Rada</cp:lastModifiedBy>
  <cp:lastPrinted>2021-12-10T09:09:19Z</cp:lastPrinted>
  <dcterms:created xsi:type="dcterms:W3CDTF">2021-12-08T14:56:26Z</dcterms:created>
  <dcterms:modified xsi:type="dcterms:W3CDTF">2021-12-13T14:50:56Z</dcterms:modified>
</cp:coreProperties>
</file>