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Лист1" sheetId="13" r:id="rId10"/>
    <sheet name="ЗВІТ!" sheetId="12" r:id="rId11"/>
  </sheets>
  <definedNames>
    <definedName name="_xlnm.Print_Area" localSheetId="10">'ЗВІТ!'!$A$1:$J$244</definedName>
    <definedName name="_xlnm.Print_Area" localSheetId="4">'трудові ресурси'!$A$1:$L$32</definedName>
    <definedName name="_xlnm.Print_Area" localSheetId="0">'фін план'!$A$1:$J$270</definedName>
  </definedNames>
  <calcPr calcId="181029"/>
</workbook>
</file>

<file path=xl/calcChain.xml><?xml version="1.0" encoding="utf-8"?>
<calcChain xmlns="http://schemas.openxmlformats.org/spreadsheetml/2006/main">
  <c r="J38" i="8" l="1"/>
  <c r="I38" i="8"/>
  <c r="H38" i="8"/>
  <c r="G38" i="8"/>
  <c r="J37" i="8"/>
  <c r="I37" i="8"/>
  <c r="H37" i="8"/>
  <c r="G37" i="8"/>
  <c r="H26" i="8"/>
  <c r="G26" i="8"/>
  <c r="J25" i="8"/>
  <c r="J27" i="8" s="1"/>
  <c r="I25" i="8"/>
  <c r="I27" i="8" s="1"/>
  <c r="H25" i="8"/>
  <c r="H27" i="8" s="1"/>
  <c r="G25" i="8"/>
  <c r="G27" i="8" s="1"/>
  <c r="F27" i="8"/>
  <c r="E27" i="8"/>
  <c r="D27" i="8"/>
  <c r="E51" i="1"/>
  <c r="E141" i="1"/>
  <c r="E74" i="1"/>
  <c r="C152" i="1"/>
  <c r="E152" i="1"/>
  <c r="E104" i="1"/>
  <c r="F122" i="1"/>
  <c r="G122" i="1"/>
  <c r="H122" i="1"/>
  <c r="I122" i="1"/>
  <c r="F121" i="1"/>
  <c r="G121" i="1"/>
  <c r="H121" i="1"/>
  <c r="I121" i="1"/>
  <c r="E148" i="1"/>
  <c r="E150" i="1"/>
  <c r="I98" i="1" l="1"/>
  <c r="I99" i="1"/>
  <c r="I100" i="1"/>
  <c r="I101" i="1"/>
  <c r="I102" i="1"/>
  <c r="H98" i="1"/>
  <c r="H99" i="1"/>
  <c r="H100" i="1"/>
  <c r="H101" i="1"/>
  <c r="H102" i="1"/>
  <c r="G98" i="1"/>
  <c r="G99" i="1"/>
  <c r="G100" i="1"/>
  <c r="G101" i="1"/>
  <c r="G102" i="1"/>
  <c r="F98" i="1"/>
  <c r="F99" i="1"/>
  <c r="F100" i="1"/>
  <c r="F101" i="1"/>
  <c r="F102" i="1"/>
  <c r="E90" i="1"/>
  <c r="D141" i="1"/>
  <c r="D81" i="1"/>
  <c r="D75" i="1"/>
  <c r="D74" i="1" s="1"/>
  <c r="C144" i="1" l="1"/>
  <c r="E130" i="1"/>
  <c r="C140" i="1"/>
  <c r="D136" i="1"/>
  <c r="D130" i="1" s="1"/>
  <c r="F136" i="1"/>
  <c r="G136" i="1"/>
  <c r="H136" i="1"/>
  <c r="I136" i="1"/>
  <c r="C131" i="1"/>
  <c r="C130" i="1" s="1"/>
  <c r="E103" i="1"/>
  <c r="C105" i="1"/>
  <c r="C119" i="1"/>
  <c r="C117" i="1"/>
  <c r="C114" i="1"/>
  <c r="C109" i="1"/>
  <c r="C108" i="1"/>
  <c r="C106" i="1"/>
  <c r="C104" i="1" s="1"/>
  <c r="C75" i="1"/>
  <c r="D96" i="1"/>
  <c r="D153" i="1" s="1"/>
  <c r="E96" i="1"/>
  <c r="C97" i="1"/>
  <c r="C96" i="1" s="1"/>
  <c r="C94" i="1"/>
  <c r="C86" i="1"/>
  <c r="H29" i="12" l="1"/>
  <c r="G30" i="12"/>
  <c r="E176" i="12"/>
  <c r="F176" i="12"/>
  <c r="E177" i="12"/>
  <c r="F177" i="12"/>
  <c r="E178" i="12"/>
  <c r="F178" i="12"/>
  <c r="E179" i="12"/>
  <c r="F179" i="12"/>
  <c r="E180" i="12"/>
  <c r="F180" i="12"/>
  <c r="E181" i="12"/>
  <c r="F181" i="12"/>
  <c r="E182" i="12"/>
  <c r="F182" i="12"/>
  <c r="E183" i="12"/>
  <c r="F183" i="12"/>
  <c r="E184" i="12"/>
  <c r="F184" i="12"/>
  <c r="E185" i="12"/>
  <c r="F185" i="12"/>
  <c r="E186" i="12"/>
  <c r="F186" i="12"/>
  <c r="E187" i="12"/>
  <c r="F187" i="12"/>
  <c r="E188" i="12"/>
  <c r="F188" i="12"/>
  <c r="E189" i="12"/>
  <c r="F189" i="12"/>
  <c r="E190" i="12"/>
  <c r="F190" i="12"/>
  <c r="E191" i="12"/>
  <c r="F191" i="12"/>
  <c r="E192" i="12"/>
  <c r="F192" i="12"/>
  <c r="E193" i="12"/>
  <c r="F193" i="12"/>
  <c r="E194" i="12"/>
  <c r="F194" i="12"/>
  <c r="E195" i="12"/>
  <c r="F195" i="12"/>
  <c r="E196" i="12"/>
  <c r="F196" i="12"/>
  <c r="E197" i="12"/>
  <c r="F197" i="12"/>
  <c r="E198" i="12"/>
  <c r="F198" i="12"/>
  <c r="E199" i="12"/>
  <c r="F199" i="12"/>
  <c r="E200" i="12"/>
  <c r="F200" i="12"/>
  <c r="E201" i="12"/>
  <c r="F201" i="12"/>
  <c r="E202" i="12"/>
  <c r="E203" i="12"/>
  <c r="E205" i="12"/>
  <c r="F205" i="12"/>
  <c r="E206" i="12"/>
  <c r="F206" i="12"/>
  <c r="E208" i="12"/>
  <c r="F208" i="12"/>
  <c r="E209" i="12"/>
  <c r="F209" i="12"/>
  <c r="E216" i="12"/>
  <c r="F216" i="12"/>
  <c r="E217" i="12"/>
  <c r="F217" i="12"/>
  <c r="E218" i="12"/>
  <c r="F218" i="12"/>
  <c r="E219" i="12"/>
  <c r="F219" i="12"/>
  <c r="E220" i="12"/>
  <c r="F220" i="12"/>
  <c r="E221" i="12"/>
  <c r="E222" i="12"/>
  <c r="E223" i="12"/>
  <c r="E224" i="12"/>
  <c r="F224" i="12"/>
  <c r="E225" i="12"/>
  <c r="E227" i="12"/>
  <c r="F227" i="12"/>
  <c r="E228" i="12"/>
  <c r="F228" i="12"/>
  <c r="E229" i="12"/>
  <c r="F229" i="12"/>
  <c r="F175" i="12"/>
  <c r="E175" i="12"/>
  <c r="F172" i="12"/>
  <c r="E172" i="12"/>
  <c r="F159" i="12"/>
  <c r="E159" i="12"/>
  <c r="F156" i="12"/>
  <c r="E154" i="12"/>
  <c r="E155" i="12"/>
  <c r="E156" i="12"/>
  <c r="F153" i="12"/>
  <c r="E151" i="12"/>
  <c r="E152" i="12"/>
  <c r="E153" i="12"/>
  <c r="F150" i="12"/>
  <c r="E150" i="12"/>
  <c r="C234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5" i="12"/>
  <c r="C206" i="12"/>
  <c r="C207" i="12"/>
  <c r="E207" i="12" s="1"/>
  <c r="C208" i="12"/>
  <c r="C209" i="12"/>
  <c r="C210" i="12"/>
  <c r="E210" i="12" s="1"/>
  <c r="C211" i="12"/>
  <c r="E211" i="12" s="1"/>
  <c r="C212" i="12"/>
  <c r="E212" i="12" s="1"/>
  <c r="C213" i="12"/>
  <c r="E213" i="12" s="1"/>
  <c r="C214" i="12"/>
  <c r="E214" i="12" s="1"/>
  <c r="C215" i="12"/>
  <c r="E215" i="12" s="1"/>
  <c r="C216" i="12"/>
  <c r="C217" i="12"/>
  <c r="C218" i="12"/>
  <c r="C219" i="12"/>
  <c r="C220" i="12"/>
  <c r="C221" i="12"/>
  <c r="C222" i="12"/>
  <c r="C223" i="12"/>
  <c r="C224" i="12"/>
  <c r="C225" i="12"/>
  <c r="C226" i="12"/>
  <c r="E226" i="12" s="1"/>
  <c r="C227" i="12"/>
  <c r="C228" i="12"/>
  <c r="C229" i="12"/>
  <c r="D175" i="12"/>
  <c r="C175" i="12"/>
  <c r="C172" i="12"/>
  <c r="D172" i="12"/>
  <c r="C150" i="12"/>
  <c r="C153" i="12"/>
  <c r="C156" i="12"/>
  <c r="G135" i="12"/>
  <c r="G133" i="12" s="1"/>
  <c r="G131" i="12" s="1"/>
  <c r="G129" i="12" s="1"/>
  <c r="G127" i="12" s="1"/>
  <c r="G125" i="12" s="1"/>
  <c r="G123" i="12" s="1"/>
  <c r="E109" i="12"/>
  <c r="F109" i="12"/>
  <c r="E110" i="12"/>
  <c r="F110" i="12"/>
  <c r="E111" i="12"/>
  <c r="F111" i="12"/>
  <c r="E112" i="12"/>
  <c r="F112" i="12"/>
  <c r="E113" i="12"/>
  <c r="F113" i="12"/>
  <c r="E114" i="12"/>
  <c r="F114" i="12"/>
  <c r="E115" i="12"/>
  <c r="F115" i="12"/>
  <c r="E116" i="12"/>
  <c r="F116" i="12"/>
  <c r="E117" i="12"/>
  <c r="F117" i="12"/>
  <c r="E118" i="12"/>
  <c r="E119" i="12"/>
  <c r="F119" i="12"/>
  <c r="C109" i="12"/>
  <c r="C110" i="12"/>
  <c r="C111" i="12"/>
  <c r="C112" i="12"/>
  <c r="C113" i="12"/>
  <c r="C114" i="12"/>
  <c r="C115" i="12"/>
  <c r="C116" i="12"/>
  <c r="C117" i="12"/>
  <c r="C118" i="12"/>
  <c r="C119" i="12"/>
  <c r="C108" i="12"/>
  <c r="F108" i="12"/>
  <c r="E108" i="12"/>
  <c r="E45" i="12"/>
  <c r="F45" i="12"/>
  <c r="E46" i="12"/>
  <c r="F46" i="12"/>
  <c r="E47" i="12"/>
  <c r="F47" i="12"/>
  <c r="E48" i="12"/>
  <c r="F48" i="12"/>
  <c r="E49" i="12"/>
  <c r="F49" i="12"/>
  <c r="E50" i="12"/>
  <c r="F50" i="12"/>
  <c r="E51" i="12"/>
  <c r="F51" i="12"/>
  <c r="E52" i="12"/>
  <c r="F52" i="12"/>
  <c r="E53" i="12"/>
  <c r="F53" i="12"/>
  <c r="E54" i="12"/>
  <c r="F54" i="12"/>
  <c r="E55" i="12"/>
  <c r="F55" i="12"/>
  <c r="E56" i="12"/>
  <c r="F56" i="12"/>
  <c r="E57" i="12"/>
  <c r="F57" i="12"/>
  <c r="E58" i="12"/>
  <c r="F58" i="12"/>
  <c r="E59" i="12"/>
  <c r="F59" i="12"/>
  <c r="E60" i="12"/>
  <c r="F60" i="12"/>
  <c r="E61" i="12"/>
  <c r="F61" i="12"/>
  <c r="E62" i="12"/>
  <c r="F62" i="12"/>
  <c r="E63" i="12"/>
  <c r="F63" i="12"/>
  <c r="E64" i="12"/>
  <c r="F64" i="12"/>
  <c r="E65" i="12"/>
  <c r="F65" i="12"/>
  <c r="E66" i="12"/>
  <c r="F66" i="12"/>
  <c r="E67" i="12"/>
  <c r="F67" i="12"/>
  <c r="E68" i="12"/>
  <c r="F68" i="12"/>
  <c r="E69" i="12"/>
  <c r="F69" i="12"/>
  <c r="E70" i="12"/>
  <c r="F70" i="12"/>
  <c r="E71" i="12"/>
  <c r="F71" i="12"/>
  <c r="E72" i="12"/>
  <c r="F72" i="12"/>
  <c r="E73" i="12"/>
  <c r="F73" i="12"/>
  <c r="E74" i="12"/>
  <c r="F74" i="12"/>
  <c r="E75" i="12"/>
  <c r="F75" i="12"/>
  <c r="E76" i="12"/>
  <c r="E77" i="12"/>
  <c r="F77" i="12"/>
  <c r="E78" i="12"/>
  <c r="F78" i="12"/>
  <c r="E79" i="12"/>
  <c r="F79" i="12"/>
  <c r="E80" i="12"/>
  <c r="F80" i="12"/>
  <c r="E81" i="12"/>
  <c r="F81" i="12"/>
  <c r="E82" i="12"/>
  <c r="F82" i="12"/>
  <c r="E83" i="12"/>
  <c r="E84" i="12"/>
  <c r="F84" i="12"/>
  <c r="E85" i="12"/>
  <c r="F85" i="12"/>
  <c r="E86" i="12"/>
  <c r="F86" i="12"/>
  <c r="E87" i="12"/>
  <c r="F87" i="12"/>
  <c r="E88" i="12"/>
  <c r="E89" i="12"/>
  <c r="E90" i="12"/>
  <c r="E91" i="12"/>
  <c r="F91" i="12"/>
  <c r="E92" i="12"/>
  <c r="F92" i="12"/>
  <c r="E93" i="12"/>
  <c r="F93" i="12"/>
  <c r="E94" i="12"/>
  <c r="F94" i="12"/>
  <c r="E95" i="12"/>
  <c r="F95" i="12"/>
  <c r="E96" i="12"/>
  <c r="F96" i="12"/>
  <c r="E97" i="12"/>
  <c r="F97" i="12"/>
  <c r="E98" i="12"/>
  <c r="F98" i="12"/>
  <c r="E99" i="12"/>
  <c r="F99" i="12"/>
  <c r="E100" i="12"/>
  <c r="F100" i="12"/>
  <c r="E101" i="12"/>
  <c r="F101" i="12"/>
  <c r="E102" i="12"/>
  <c r="F102" i="12"/>
  <c r="E103" i="12"/>
  <c r="F103" i="12"/>
  <c r="E104" i="12"/>
  <c r="F104" i="12"/>
  <c r="E105" i="12"/>
  <c r="F105" i="12"/>
  <c r="E106" i="12"/>
  <c r="F106" i="12"/>
  <c r="F44" i="12"/>
  <c r="E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44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F18" i="12"/>
  <c r="E18" i="12"/>
  <c r="C19" i="12"/>
  <c r="C20" i="12"/>
  <c r="C21" i="12"/>
  <c r="C22" i="12"/>
  <c r="C23" i="12"/>
  <c r="C24" i="12"/>
  <c r="C25" i="12"/>
  <c r="C26" i="12"/>
  <c r="C27" i="12"/>
  <c r="C28" i="12"/>
  <c r="C30" i="12"/>
  <c r="C232" i="12" s="1"/>
  <c r="C31" i="12"/>
  <c r="C32" i="12"/>
  <c r="C34" i="12"/>
  <c r="C35" i="12"/>
  <c r="C36" i="12"/>
  <c r="C37" i="12"/>
  <c r="C38" i="12"/>
  <c r="C39" i="12"/>
  <c r="C40" i="12"/>
  <c r="C41" i="12"/>
  <c r="C42" i="12"/>
  <c r="C18" i="12"/>
  <c r="I176" i="12"/>
  <c r="J176" i="12"/>
  <c r="I177" i="12"/>
  <c r="J177" i="12"/>
  <c r="I178" i="12"/>
  <c r="J178" i="12"/>
  <c r="I179" i="12"/>
  <c r="J179" i="12"/>
  <c r="I180" i="12"/>
  <c r="J180" i="12"/>
  <c r="I181" i="12"/>
  <c r="J181" i="12"/>
  <c r="I182" i="12"/>
  <c r="J182" i="12"/>
  <c r="I183" i="12"/>
  <c r="J183" i="12"/>
  <c r="I184" i="12"/>
  <c r="J184" i="12"/>
  <c r="I185" i="12"/>
  <c r="J185" i="12"/>
  <c r="I186" i="12"/>
  <c r="J186" i="12"/>
  <c r="I187" i="12"/>
  <c r="J187" i="12"/>
  <c r="I188" i="12"/>
  <c r="J188" i="12"/>
  <c r="I189" i="12"/>
  <c r="J189" i="12"/>
  <c r="I190" i="12"/>
  <c r="J190" i="12"/>
  <c r="I191" i="12"/>
  <c r="J191" i="12"/>
  <c r="I192" i="12"/>
  <c r="J192" i="12"/>
  <c r="I193" i="12"/>
  <c r="J193" i="12"/>
  <c r="I194" i="12"/>
  <c r="J194" i="12"/>
  <c r="I195" i="12"/>
  <c r="J195" i="12"/>
  <c r="I196" i="12"/>
  <c r="J196" i="12"/>
  <c r="I197" i="12"/>
  <c r="J197" i="12"/>
  <c r="I198" i="12"/>
  <c r="J198" i="12"/>
  <c r="I199" i="12"/>
  <c r="J199" i="12"/>
  <c r="I200" i="12"/>
  <c r="J200" i="12"/>
  <c r="I201" i="12"/>
  <c r="J201" i="12"/>
  <c r="I202" i="12"/>
  <c r="I203" i="12"/>
  <c r="I205" i="12"/>
  <c r="J205" i="12"/>
  <c r="I206" i="12"/>
  <c r="J206" i="12"/>
  <c r="I207" i="12"/>
  <c r="I208" i="12"/>
  <c r="J208" i="12"/>
  <c r="I209" i="12"/>
  <c r="J209" i="12"/>
  <c r="I210" i="12"/>
  <c r="I211" i="12"/>
  <c r="I212" i="12"/>
  <c r="I213" i="12"/>
  <c r="I214" i="12"/>
  <c r="I215" i="12"/>
  <c r="I216" i="12"/>
  <c r="J216" i="12"/>
  <c r="I217" i="12"/>
  <c r="J217" i="12"/>
  <c r="I218" i="12"/>
  <c r="J218" i="12"/>
  <c r="I219" i="12"/>
  <c r="J219" i="12"/>
  <c r="I220" i="12"/>
  <c r="J220" i="12"/>
  <c r="I221" i="12"/>
  <c r="I222" i="12"/>
  <c r="I223" i="12"/>
  <c r="I224" i="12"/>
  <c r="J224" i="12"/>
  <c r="I225" i="12"/>
  <c r="I226" i="12"/>
  <c r="I227" i="12"/>
  <c r="J227" i="12"/>
  <c r="I228" i="12"/>
  <c r="J228" i="12"/>
  <c r="I229" i="12"/>
  <c r="J229" i="12"/>
  <c r="J175" i="12"/>
  <c r="I175" i="12"/>
  <c r="J172" i="12"/>
  <c r="I172" i="12"/>
  <c r="I153" i="12"/>
  <c r="J153" i="12"/>
  <c r="I156" i="12"/>
  <c r="J156" i="12"/>
  <c r="I108" i="12"/>
  <c r="I109" i="12"/>
  <c r="J109" i="12"/>
  <c r="I110" i="12"/>
  <c r="J110" i="12"/>
  <c r="I111" i="12"/>
  <c r="J111" i="12"/>
  <c r="I112" i="12"/>
  <c r="J112" i="12"/>
  <c r="I113" i="12"/>
  <c r="J113" i="12"/>
  <c r="I114" i="12"/>
  <c r="J114" i="12"/>
  <c r="I115" i="12"/>
  <c r="J115" i="12"/>
  <c r="I116" i="12"/>
  <c r="J116" i="12"/>
  <c r="I117" i="12"/>
  <c r="J117" i="12"/>
  <c r="I118" i="12"/>
  <c r="I119" i="12"/>
  <c r="J119" i="12"/>
  <c r="J108" i="12"/>
  <c r="I45" i="12"/>
  <c r="J45" i="12"/>
  <c r="I46" i="12"/>
  <c r="J46" i="12"/>
  <c r="I47" i="12"/>
  <c r="J47" i="12"/>
  <c r="I48" i="12"/>
  <c r="J48" i="12"/>
  <c r="I49" i="12"/>
  <c r="J49" i="12"/>
  <c r="I50" i="12"/>
  <c r="J50" i="12"/>
  <c r="I51" i="12"/>
  <c r="J51" i="12"/>
  <c r="I52" i="12"/>
  <c r="J52" i="12"/>
  <c r="I53" i="12"/>
  <c r="J53" i="12"/>
  <c r="I54" i="12"/>
  <c r="J54" i="12"/>
  <c r="I55" i="12"/>
  <c r="J55" i="12"/>
  <c r="I56" i="12"/>
  <c r="J56" i="12"/>
  <c r="I57" i="12"/>
  <c r="J57" i="12"/>
  <c r="I58" i="12"/>
  <c r="J58" i="12"/>
  <c r="I59" i="12"/>
  <c r="J59" i="12"/>
  <c r="I60" i="12"/>
  <c r="J60" i="12"/>
  <c r="I61" i="12"/>
  <c r="J61" i="12"/>
  <c r="I62" i="12"/>
  <c r="J62" i="12"/>
  <c r="I63" i="12"/>
  <c r="J63" i="12"/>
  <c r="I64" i="12"/>
  <c r="J64" i="12"/>
  <c r="I65" i="12"/>
  <c r="J65" i="12"/>
  <c r="I66" i="12"/>
  <c r="J66" i="12"/>
  <c r="I67" i="12"/>
  <c r="J67" i="12"/>
  <c r="I68" i="12"/>
  <c r="J68" i="12"/>
  <c r="I69" i="12"/>
  <c r="J69" i="12"/>
  <c r="I70" i="12"/>
  <c r="J70" i="12"/>
  <c r="I71" i="12"/>
  <c r="J71" i="12"/>
  <c r="I72" i="12"/>
  <c r="J72" i="12"/>
  <c r="I73" i="12"/>
  <c r="J73" i="12"/>
  <c r="I74" i="12"/>
  <c r="J74" i="12"/>
  <c r="I75" i="12"/>
  <c r="J75" i="12"/>
  <c r="I76" i="12"/>
  <c r="I77" i="12"/>
  <c r="J77" i="12"/>
  <c r="I78" i="12"/>
  <c r="J78" i="12"/>
  <c r="I79" i="12"/>
  <c r="J79" i="12"/>
  <c r="I80" i="12"/>
  <c r="J80" i="12"/>
  <c r="I81" i="12"/>
  <c r="J81" i="12"/>
  <c r="I82" i="12"/>
  <c r="J82" i="12"/>
  <c r="I83" i="12"/>
  <c r="I84" i="12"/>
  <c r="J84" i="12"/>
  <c r="I85" i="12"/>
  <c r="J85" i="12"/>
  <c r="I86" i="12"/>
  <c r="J86" i="12"/>
  <c r="I87" i="12"/>
  <c r="J87" i="12"/>
  <c r="I88" i="12"/>
  <c r="I89" i="12"/>
  <c r="I90" i="12"/>
  <c r="I91" i="12"/>
  <c r="J91" i="12"/>
  <c r="I92" i="12"/>
  <c r="J92" i="12"/>
  <c r="I93" i="12"/>
  <c r="J93" i="12"/>
  <c r="I94" i="12"/>
  <c r="J94" i="12"/>
  <c r="I95" i="12"/>
  <c r="J95" i="12"/>
  <c r="I96" i="12"/>
  <c r="J96" i="12"/>
  <c r="I97" i="12"/>
  <c r="J97" i="12"/>
  <c r="I98" i="12"/>
  <c r="J98" i="12"/>
  <c r="I99" i="12"/>
  <c r="J99" i="12"/>
  <c r="I100" i="12"/>
  <c r="J100" i="12"/>
  <c r="I101" i="12"/>
  <c r="J101" i="12"/>
  <c r="I102" i="12"/>
  <c r="J102" i="12"/>
  <c r="I103" i="12"/>
  <c r="J103" i="12"/>
  <c r="I104" i="12"/>
  <c r="J104" i="12"/>
  <c r="I105" i="12"/>
  <c r="J105" i="12"/>
  <c r="I106" i="12"/>
  <c r="J106" i="12"/>
  <c r="J44" i="12"/>
  <c r="I44" i="12"/>
  <c r="I23" i="12"/>
  <c r="J23" i="12"/>
  <c r="I24" i="12"/>
  <c r="J24" i="12"/>
  <c r="I25" i="12"/>
  <c r="J25" i="12"/>
  <c r="I26" i="12"/>
  <c r="J26" i="12"/>
  <c r="I27" i="12"/>
  <c r="J27" i="12"/>
  <c r="I28" i="12"/>
  <c r="I31" i="12"/>
  <c r="J31" i="12"/>
  <c r="I32" i="12"/>
  <c r="J32" i="12"/>
  <c r="I35" i="12"/>
  <c r="I36" i="12"/>
  <c r="I37" i="12"/>
  <c r="I38" i="12"/>
  <c r="I39" i="12"/>
  <c r="I40" i="12"/>
  <c r="I41" i="12"/>
  <c r="I42" i="12"/>
  <c r="I19" i="12"/>
  <c r="J19" i="12"/>
  <c r="I20" i="12"/>
  <c r="J20" i="12"/>
  <c r="I21" i="12"/>
  <c r="J21" i="12"/>
  <c r="I22" i="12"/>
  <c r="J22" i="12"/>
  <c r="H22" i="12"/>
  <c r="J18" i="12"/>
  <c r="I18" i="12"/>
  <c r="G218" i="12"/>
  <c r="G184" i="12"/>
  <c r="G201" i="12"/>
  <c r="G200" i="12"/>
  <c r="G199" i="12"/>
  <c r="G198" i="12"/>
  <c r="G197" i="12"/>
  <c r="G196" i="12"/>
  <c r="G194" i="12"/>
  <c r="G186" i="12"/>
  <c r="G193" i="12"/>
  <c r="G177" i="12"/>
  <c r="G156" i="12"/>
  <c r="G153" i="12"/>
  <c r="G105" i="12"/>
  <c r="G100" i="12"/>
  <c r="G96" i="12"/>
  <c r="G84" i="12"/>
  <c r="C33" i="12"/>
  <c r="G22" i="12"/>
  <c r="G21" i="12"/>
  <c r="G20" i="12"/>
  <c r="G19" i="12"/>
  <c r="D156" i="12"/>
  <c r="D153" i="12"/>
  <c r="D150" i="12"/>
  <c r="D109" i="12"/>
  <c r="D110" i="12"/>
  <c r="D111" i="12"/>
  <c r="D112" i="12"/>
  <c r="D113" i="12"/>
  <c r="D114" i="12"/>
  <c r="D115" i="12"/>
  <c r="D116" i="12"/>
  <c r="D117" i="12"/>
  <c r="D118" i="12"/>
  <c r="D108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44" i="12"/>
  <c r="D31" i="12"/>
  <c r="D32" i="12"/>
  <c r="D34" i="12"/>
  <c r="D35" i="12"/>
  <c r="D36" i="12"/>
  <c r="D37" i="12"/>
  <c r="D38" i="12"/>
  <c r="D39" i="12"/>
  <c r="D40" i="12"/>
  <c r="D41" i="12"/>
  <c r="D42" i="12"/>
  <c r="D23" i="12"/>
  <c r="D24" i="12"/>
  <c r="D25" i="12"/>
  <c r="D26" i="12"/>
  <c r="D27" i="12"/>
  <c r="D28" i="12"/>
  <c r="D19" i="12"/>
  <c r="D20" i="12"/>
  <c r="D21" i="12"/>
  <c r="D22" i="12"/>
  <c r="D18" i="12"/>
  <c r="H219" i="12"/>
  <c r="H218" i="12"/>
  <c r="H216" i="12"/>
  <c r="H204" i="12"/>
  <c r="H201" i="12"/>
  <c r="H200" i="12"/>
  <c r="H199" i="12"/>
  <c r="H198" i="12"/>
  <c r="H197" i="12"/>
  <c r="H196" i="12"/>
  <c r="H194" i="12"/>
  <c r="H186" i="12"/>
  <c r="H184" i="12"/>
  <c r="H193" i="12" s="1"/>
  <c r="H177" i="12"/>
  <c r="H42" i="12"/>
  <c r="H36" i="12"/>
  <c r="H105" i="12"/>
  <c r="H46" i="12"/>
  <c r="H23" i="12"/>
  <c r="H30" i="12"/>
  <c r="H135" i="12"/>
  <c r="H134" i="12" s="1"/>
  <c r="H133" i="12" s="1"/>
  <c r="H132" i="12" s="1"/>
  <c r="H131" i="12" s="1"/>
  <c r="H130" i="12" s="1"/>
  <c r="H129" i="12" s="1"/>
  <c r="H128" i="12" s="1"/>
  <c r="H127" i="12" s="1"/>
  <c r="H126" i="12" s="1"/>
  <c r="H125" i="12" s="1"/>
  <c r="H124" i="12" s="1"/>
  <c r="H123" i="12" s="1"/>
  <c r="H122" i="12" s="1"/>
  <c r="H121" i="12"/>
  <c r="H101" i="12"/>
  <c r="H100" i="12" s="1"/>
  <c r="H49" i="12"/>
  <c r="H68" i="12"/>
  <c r="H53" i="12"/>
  <c r="H119" i="12" s="1"/>
  <c r="D119" i="12" s="1"/>
  <c r="H58" i="12"/>
  <c r="H57" i="12"/>
  <c r="H99" i="12"/>
  <c r="H97" i="12"/>
  <c r="H96" i="12" s="1"/>
  <c r="H71" i="12"/>
  <c r="H91" i="12"/>
  <c r="H87" i="12"/>
  <c r="H85" i="12"/>
  <c r="H84" i="12" s="1"/>
  <c r="H80" i="12"/>
  <c r="H82" i="12"/>
  <c r="H75" i="12"/>
  <c r="H74" i="12"/>
  <c r="H72" i="12"/>
  <c r="H62" i="12"/>
  <c r="H61" i="12"/>
  <c r="H65" i="12"/>
  <c r="H63" i="12" s="1"/>
  <c r="H60" i="12"/>
  <c r="H51" i="12"/>
  <c r="H70" i="12"/>
  <c r="H69" i="12"/>
  <c r="H45" i="12"/>
  <c r="H52" i="12"/>
  <c r="H56" i="12"/>
  <c r="H21" i="12"/>
  <c r="H20" i="12"/>
  <c r="H19" i="12"/>
  <c r="H18" i="12" s="1"/>
  <c r="G216" i="12"/>
  <c r="G204" i="12"/>
  <c r="G121" i="12"/>
  <c r="G119" i="12"/>
  <c r="G91" i="12"/>
  <c r="G70" i="12"/>
  <c r="G69" i="12" s="1"/>
  <c r="G52" i="12"/>
  <c r="G45" i="12"/>
  <c r="G44" i="12" s="1"/>
  <c r="G36" i="12"/>
  <c r="G29" i="12"/>
  <c r="G23" i="12"/>
  <c r="G149" i="12" s="1"/>
  <c r="G18" i="12"/>
  <c r="D33" i="12" l="1"/>
  <c r="E34" i="12"/>
  <c r="C29" i="12"/>
  <c r="G163" i="12"/>
  <c r="E31" i="12"/>
  <c r="F31" i="12"/>
  <c r="I30" i="12"/>
  <c r="J30" i="12"/>
  <c r="D30" i="12"/>
  <c r="E32" i="12"/>
  <c r="F32" i="12"/>
  <c r="E27" i="12"/>
  <c r="F27" i="12"/>
  <c r="E28" i="12"/>
  <c r="C204" i="12"/>
  <c r="I204" i="12"/>
  <c r="J204" i="12"/>
  <c r="G195" i="12"/>
  <c r="G150" i="12"/>
  <c r="H195" i="12"/>
  <c r="H44" i="12"/>
  <c r="H153" i="12" s="1"/>
  <c r="H156" i="12" s="1"/>
  <c r="H163" i="12" s="1"/>
  <c r="G231" i="12"/>
  <c r="G233" i="12"/>
  <c r="C40" i="1"/>
  <c r="C39" i="1"/>
  <c r="C38" i="1"/>
  <c r="E39" i="1"/>
  <c r="E38" i="1"/>
  <c r="D51" i="1"/>
  <c r="C51" i="1"/>
  <c r="D20" i="6"/>
  <c r="E20" i="6"/>
  <c r="C20" i="6"/>
  <c r="C42" i="1"/>
  <c r="D42" i="1"/>
  <c r="I131" i="1"/>
  <c r="I132" i="1"/>
  <c r="I133" i="1"/>
  <c r="I134" i="1"/>
  <c r="I135" i="1"/>
  <c r="I137" i="1"/>
  <c r="I138" i="1"/>
  <c r="I139" i="1"/>
  <c r="I142" i="1"/>
  <c r="H131" i="1"/>
  <c r="H132" i="1"/>
  <c r="H133" i="1"/>
  <c r="H134" i="1"/>
  <c r="H135" i="1"/>
  <c r="H137" i="1"/>
  <c r="H138" i="1"/>
  <c r="H139" i="1"/>
  <c r="H142" i="1"/>
  <c r="G131" i="1"/>
  <c r="G132" i="1"/>
  <c r="G133" i="1"/>
  <c r="G134" i="1"/>
  <c r="G135" i="1"/>
  <c r="G137" i="1"/>
  <c r="G138" i="1"/>
  <c r="G139" i="1"/>
  <c r="G142" i="1"/>
  <c r="F131" i="1"/>
  <c r="F132" i="1"/>
  <c r="F133" i="1"/>
  <c r="F134" i="1"/>
  <c r="F135" i="1"/>
  <c r="F137" i="1"/>
  <c r="F138" i="1"/>
  <c r="F139" i="1"/>
  <c r="F142" i="1"/>
  <c r="I75" i="1"/>
  <c r="I76" i="1"/>
  <c r="I77" i="1"/>
  <c r="I78" i="1"/>
  <c r="I80" i="1"/>
  <c r="I82" i="1"/>
  <c r="I83" i="1"/>
  <c r="I84" i="1"/>
  <c r="I85" i="1"/>
  <c r="I86" i="1"/>
  <c r="I87" i="1"/>
  <c r="I88" i="1"/>
  <c r="I92" i="1"/>
  <c r="I93" i="1"/>
  <c r="I94" i="1"/>
  <c r="I95" i="1"/>
  <c r="I97" i="1"/>
  <c r="I96" i="1" s="1"/>
  <c r="I105" i="1"/>
  <c r="I106" i="1"/>
  <c r="I107" i="1"/>
  <c r="I108" i="1"/>
  <c r="I109" i="1"/>
  <c r="I110" i="1"/>
  <c r="I111" i="1"/>
  <c r="I113" i="1"/>
  <c r="I114" i="1"/>
  <c r="I115" i="1"/>
  <c r="I116" i="1"/>
  <c r="I117" i="1"/>
  <c r="I119" i="1"/>
  <c r="I120" i="1"/>
  <c r="I123" i="1"/>
  <c r="I125" i="1"/>
  <c r="I126" i="1"/>
  <c r="I127" i="1"/>
  <c r="I128" i="1"/>
  <c r="I129" i="1"/>
  <c r="H75" i="1"/>
  <c r="H76" i="1"/>
  <c r="H77" i="1"/>
  <c r="H78" i="1"/>
  <c r="H80" i="1"/>
  <c r="H82" i="1"/>
  <c r="H83" i="1"/>
  <c r="H84" i="1"/>
  <c r="H85" i="1"/>
  <c r="H86" i="1"/>
  <c r="H87" i="1"/>
  <c r="H88" i="1"/>
  <c r="H92" i="1"/>
  <c r="H93" i="1"/>
  <c r="H94" i="1"/>
  <c r="H95" i="1"/>
  <c r="H97" i="1"/>
  <c r="H96" i="1" s="1"/>
  <c r="H105" i="1"/>
  <c r="H106" i="1"/>
  <c r="H107" i="1"/>
  <c r="H108" i="1"/>
  <c r="H109" i="1"/>
  <c r="H110" i="1"/>
  <c r="H111" i="1"/>
  <c r="H113" i="1"/>
  <c r="H114" i="1"/>
  <c r="H115" i="1"/>
  <c r="H116" i="1"/>
  <c r="H117" i="1"/>
  <c r="H119" i="1"/>
  <c r="H120" i="1"/>
  <c r="H123" i="1"/>
  <c r="H125" i="1"/>
  <c r="H126" i="1"/>
  <c r="H127" i="1"/>
  <c r="H128" i="1"/>
  <c r="H129" i="1"/>
  <c r="G75" i="1"/>
  <c r="G76" i="1"/>
  <c r="G77" i="1"/>
  <c r="G78" i="1"/>
  <c r="G80" i="1"/>
  <c r="G82" i="1"/>
  <c r="G83" i="1"/>
  <c r="G84" i="1"/>
  <c r="G85" i="1"/>
  <c r="G86" i="1"/>
  <c r="G87" i="1"/>
  <c r="G88" i="1"/>
  <c r="G92" i="1"/>
  <c r="G93" i="1"/>
  <c r="G94" i="1"/>
  <c r="G95" i="1"/>
  <c r="G97" i="1"/>
  <c r="G96" i="1" s="1"/>
  <c r="G105" i="1"/>
  <c r="G106" i="1"/>
  <c r="G107" i="1"/>
  <c r="G108" i="1"/>
  <c r="G109" i="1"/>
  <c r="G110" i="1"/>
  <c r="G111" i="1"/>
  <c r="G113" i="1"/>
  <c r="G114" i="1"/>
  <c r="G115" i="1"/>
  <c r="G116" i="1"/>
  <c r="G117" i="1"/>
  <c r="G119" i="1"/>
  <c r="G120" i="1"/>
  <c r="G123" i="1"/>
  <c r="G125" i="1"/>
  <c r="G126" i="1"/>
  <c r="G127" i="1"/>
  <c r="G128" i="1"/>
  <c r="G129" i="1"/>
  <c r="F75" i="1"/>
  <c r="F76" i="1"/>
  <c r="F77" i="1"/>
  <c r="F78" i="1"/>
  <c r="F80" i="1"/>
  <c r="F82" i="1"/>
  <c r="F83" i="1"/>
  <c r="F84" i="1"/>
  <c r="F85" i="1"/>
  <c r="F86" i="1"/>
  <c r="F87" i="1"/>
  <c r="F88" i="1"/>
  <c r="F92" i="1"/>
  <c r="F93" i="1"/>
  <c r="F94" i="1"/>
  <c r="F95" i="1"/>
  <c r="F97" i="1"/>
  <c r="F96" i="1" s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9" i="1"/>
  <c r="F120" i="1"/>
  <c r="F123" i="1"/>
  <c r="F125" i="1"/>
  <c r="F126" i="1"/>
  <c r="F127" i="1"/>
  <c r="F128" i="1"/>
  <c r="F129" i="1"/>
  <c r="F67" i="1"/>
  <c r="F68" i="1"/>
  <c r="F69" i="1"/>
  <c r="F70" i="1"/>
  <c r="F71" i="1"/>
  <c r="G67" i="1"/>
  <c r="G68" i="1"/>
  <c r="G69" i="1"/>
  <c r="G70" i="1"/>
  <c r="G71" i="1"/>
  <c r="H67" i="1"/>
  <c r="H68" i="1"/>
  <c r="H69" i="1"/>
  <c r="H70" i="1"/>
  <c r="H71" i="1"/>
  <c r="I71" i="1"/>
  <c r="I35" i="1"/>
  <c r="I36" i="1"/>
  <c r="I37" i="1"/>
  <c r="I38" i="1"/>
  <c r="I39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7" i="1"/>
  <c r="I68" i="1"/>
  <c r="I69" i="1"/>
  <c r="I7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35" i="1"/>
  <c r="H36" i="1"/>
  <c r="H37" i="1"/>
  <c r="H38" i="1"/>
  <c r="H39" i="1"/>
  <c r="G58" i="1"/>
  <c r="G59" i="1"/>
  <c r="G60" i="1"/>
  <c r="G61" i="1"/>
  <c r="G62" i="1"/>
  <c r="G63" i="1"/>
  <c r="G64" i="1"/>
  <c r="F58" i="1"/>
  <c r="F59" i="1"/>
  <c r="F60" i="1"/>
  <c r="F61" i="1"/>
  <c r="F62" i="1"/>
  <c r="F63" i="1"/>
  <c r="F64" i="1"/>
  <c r="G49" i="1"/>
  <c r="G50" i="1"/>
  <c r="G51" i="1"/>
  <c r="G52" i="1"/>
  <c r="G53" i="1"/>
  <c r="G54" i="1"/>
  <c r="G55" i="1"/>
  <c r="G56" i="1"/>
  <c r="G57" i="1"/>
  <c r="F49" i="1"/>
  <c r="F50" i="1"/>
  <c r="F51" i="1"/>
  <c r="F52" i="1"/>
  <c r="F53" i="1"/>
  <c r="F54" i="1"/>
  <c r="F55" i="1"/>
  <c r="F56" i="1"/>
  <c r="F57" i="1"/>
  <c r="F43" i="1"/>
  <c r="F44" i="1"/>
  <c r="F45" i="1"/>
  <c r="F46" i="1"/>
  <c r="F47" i="1"/>
  <c r="F48" i="1"/>
  <c r="G43" i="1"/>
  <c r="G44" i="1"/>
  <c r="G45" i="1"/>
  <c r="G46" i="1"/>
  <c r="G47" i="1"/>
  <c r="G48" i="1"/>
  <c r="G39" i="1"/>
  <c r="F35" i="1"/>
  <c r="F36" i="1"/>
  <c r="F37" i="1"/>
  <c r="F38" i="1"/>
  <c r="F39" i="1"/>
  <c r="G35" i="1"/>
  <c r="G36" i="1"/>
  <c r="G37" i="1"/>
  <c r="G38" i="1"/>
  <c r="D40" i="1"/>
  <c r="E40" i="1"/>
  <c r="C34" i="1"/>
  <c r="E42" i="1"/>
  <c r="E153" i="1"/>
  <c r="C141" i="1"/>
  <c r="C153" i="1" s="1"/>
  <c r="D65" i="1"/>
  <c r="E65" i="1"/>
  <c r="C65" i="1"/>
  <c r="F130" i="1" l="1"/>
  <c r="G130" i="1"/>
  <c r="H130" i="1"/>
  <c r="I130" i="1"/>
  <c r="E33" i="12"/>
  <c r="C163" i="12"/>
  <c r="C149" i="12"/>
  <c r="C231" i="12" s="1"/>
  <c r="J163" i="12"/>
  <c r="I163" i="12"/>
  <c r="I29" i="12"/>
  <c r="J29" i="12"/>
  <c r="D29" i="12"/>
  <c r="D232" i="12"/>
  <c r="E30" i="12"/>
  <c r="F30" i="12"/>
  <c r="E204" i="12"/>
  <c r="F204" i="12"/>
  <c r="G234" i="12"/>
  <c r="G232" i="12"/>
  <c r="H149" i="12"/>
  <c r="H150" i="12"/>
  <c r="E41" i="1"/>
  <c r="D41" i="1"/>
  <c r="C41" i="1"/>
  <c r="I118" i="1"/>
  <c r="H118" i="1"/>
  <c r="G118" i="1"/>
  <c r="F118" i="1"/>
  <c r="I112" i="1"/>
  <c r="H112" i="1"/>
  <c r="G112" i="1"/>
  <c r="F112" i="1"/>
  <c r="I141" i="1"/>
  <c r="I153" i="1" s="1"/>
  <c r="H141" i="1"/>
  <c r="H153" i="1" s="1"/>
  <c r="G141" i="1"/>
  <c r="G153" i="1" s="1"/>
  <c r="F141" i="1"/>
  <c r="F153" i="1" s="1"/>
  <c r="E34" i="1"/>
  <c r="I40" i="1"/>
  <c r="H40" i="1"/>
  <c r="G40" i="1"/>
  <c r="F40" i="1"/>
  <c r="I42" i="1"/>
  <c r="I41" i="1" s="1"/>
  <c r="H42" i="1"/>
  <c r="H41" i="1" s="1"/>
  <c r="F42" i="1"/>
  <c r="F41" i="1" s="1"/>
  <c r="G42" i="1"/>
  <c r="G41" i="1" s="1"/>
  <c r="I65" i="1"/>
  <c r="H65" i="1"/>
  <c r="G65" i="1"/>
  <c r="F65" i="1"/>
  <c r="E185" i="1"/>
  <c r="E160" i="1"/>
  <c r="F160" i="1"/>
  <c r="G160" i="1"/>
  <c r="H160" i="1"/>
  <c r="I160" i="1"/>
  <c r="E81" i="1"/>
  <c r="E124" i="1"/>
  <c r="D39" i="1"/>
  <c r="D38" i="1"/>
  <c r="D34" i="1" s="1"/>
  <c r="E29" i="12" l="1"/>
  <c r="F29" i="12"/>
  <c r="D163" i="12"/>
  <c r="D149" i="12"/>
  <c r="H232" i="12"/>
  <c r="I150" i="12"/>
  <c r="J150" i="12"/>
  <c r="H231" i="12"/>
  <c r="J149" i="12"/>
  <c r="I149" i="12"/>
  <c r="E146" i="1"/>
  <c r="I90" i="1"/>
  <c r="I146" i="1" s="1"/>
  <c r="H90" i="1"/>
  <c r="H146" i="1" s="1"/>
  <c r="G90" i="1"/>
  <c r="G146" i="1" s="1"/>
  <c r="F90" i="1"/>
  <c r="F146" i="1" s="1"/>
  <c r="I124" i="1"/>
  <c r="H124" i="1"/>
  <c r="G124" i="1"/>
  <c r="F124" i="1"/>
  <c r="I104" i="1"/>
  <c r="I103" i="1" s="1"/>
  <c r="H104" i="1"/>
  <c r="H103" i="1" s="1"/>
  <c r="G104" i="1"/>
  <c r="G103" i="1" s="1"/>
  <c r="F104" i="1"/>
  <c r="F103" i="1" s="1"/>
  <c r="I81" i="1"/>
  <c r="I150" i="1" s="1"/>
  <c r="H81" i="1"/>
  <c r="H150" i="1" s="1"/>
  <c r="G81" i="1"/>
  <c r="G150" i="1" s="1"/>
  <c r="F81" i="1"/>
  <c r="F150" i="1" s="1"/>
  <c r="E144" i="1"/>
  <c r="E155" i="1" s="1"/>
  <c r="I89" i="1"/>
  <c r="I144" i="1" s="1"/>
  <c r="H89" i="1"/>
  <c r="H144" i="1" s="1"/>
  <c r="G89" i="1"/>
  <c r="G144" i="1" s="1"/>
  <c r="F89" i="1"/>
  <c r="F144" i="1" s="1"/>
  <c r="I74" i="1"/>
  <c r="H74" i="1"/>
  <c r="G74" i="1"/>
  <c r="F74" i="1"/>
  <c r="I79" i="1"/>
  <c r="H79" i="1"/>
  <c r="G79" i="1"/>
  <c r="F79" i="1"/>
  <c r="I34" i="1"/>
  <c r="H34" i="1"/>
  <c r="G34" i="1"/>
  <c r="F34" i="1"/>
  <c r="I148" i="1"/>
  <c r="H148" i="1"/>
  <c r="G148" i="1"/>
  <c r="F148" i="1"/>
  <c r="I152" i="1"/>
  <c r="H152" i="1"/>
  <c r="G152" i="1"/>
  <c r="F152" i="1"/>
  <c r="F253" i="1"/>
  <c r="G253" i="1"/>
  <c r="H253" i="1"/>
  <c r="I253" i="1"/>
  <c r="F240" i="1"/>
  <c r="G240" i="1"/>
  <c r="H240" i="1"/>
  <c r="I240" i="1"/>
  <c r="D240" i="1"/>
  <c r="E240" i="1"/>
  <c r="C240" i="1"/>
  <c r="G222" i="1"/>
  <c r="H222" i="1"/>
  <c r="I222" i="1"/>
  <c r="F228" i="1"/>
  <c r="F227" i="1"/>
  <c r="F226" i="1"/>
  <c r="F225" i="1"/>
  <c r="F224" i="1"/>
  <c r="F223" i="1"/>
  <c r="F222" i="1" s="1"/>
  <c r="I221" i="1"/>
  <c r="H221" i="1"/>
  <c r="G221" i="1"/>
  <c r="F221" i="1"/>
  <c r="D253" i="1"/>
  <c r="E253" i="1"/>
  <c r="C253" i="1"/>
  <c r="D237" i="1"/>
  <c r="E237" i="1"/>
  <c r="D236" i="1"/>
  <c r="E236" i="1"/>
  <c r="D235" i="1"/>
  <c r="E235" i="1"/>
  <c r="D234" i="1"/>
  <c r="E234" i="1"/>
  <c r="D233" i="1"/>
  <c r="E233" i="1"/>
  <c r="D232" i="1"/>
  <c r="E232" i="1"/>
  <c r="D230" i="1"/>
  <c r="E230" i="1"/>
  <c r="E222" i="1"/>
  <c r="D222" i="1"/>
  <c r="D213" i="1"/>
  <c r="D211" i="1" s="1"/>
  <c r="E213" i="1"/>
  <c r="E211" i="1" s="1"/>
  <c r="F213" i="1"/>
  <c r="F211" i="1" s="1"/>
  <c r="G213" i="1"/>
  <c r="G211" i="1" s="1"/>
  <c r="H213" i="1"/>
  <c r="H211" i="1" s="1"/>
  <c r="I213" i="1"/>
  <c r="I211" i="1" s="1"/>
  <c r="D185" i="1"/>
  <c r="I12" i="7"/>
  <c r="I13" i="7"/>
  <c r="I14" i="7"/>
  <c r="I15" i="7"/>
  <c r="I16" i="7"/>
  <c r="I17" i="7"/>
  <c r="I18" i="7"/>
  <c r="I20" i="7"/>
  <c r="I23" i="7"/>
  <c r="I24" i="7"/>
  <c r="I25" i="7"/>
  <c r="I26" i="7"/>
  <c r="I27" i="7"/>
  <c r="I28" i="7"/>
  <c r="I29" i="7"/>
  <c r="I11" i="7"/>
  <c r="D160" i="1"/>
  <c r="D144" i="1"/>
  <c r="D91" i="1"/>
  <c r="E91" i="1" s="1"/>
  <c r="D110" i="1"/>
  <c r="D116" i="1"/>
  <c r="I11" i="5"/>
  <c r="J11" i="5" s="1"/>
  <c r="K11" i="5" s="1"/>
  <c r="L11" i="5" s="1"/>
  <c r="I14" i="5"/>
  <c r="J14" i="5" s="1"/>
  <c r="K14" i="5" s="1"/>
  <c r="L14" i="5" s="1"/>
  <c r="I15" i="5"/>
  <c r="J15" i="5" s="1"/>
  <c r="K15" i="5" s="1"/>
  <c r="L15" i="5" s="1"/>
  <c r="I10" i="5"/>
  <c r="H10" i="5"/>
  <c r="H11" i="5"/>
  <c r="H17" i="5"/>
  <c r="H18" i="5"/>
  <c r="H20" i="5"/>
  <c r="H21" i="5"/>
  <c r="G17" i="5"/>
  <c r="I17" i="5" s="1"/>
  <c r="J17" i="5" s="1"/>
  <c r="K17" i="5" s="1"/>
  <c r="L17" i="5" s="1"/>
  <c r="G18" i="5"/>
  <c r="G20" i="5"/>
  <c r="I20" i="5" s="1"/>
  <c r="J20" i="5" s="1"/>
  <c r="K20" i="5" s="1"/>
  <c r="L20" i="5" s="1"/>
  <c r="G21" i="5"/>
  <c r="I21" i="5" s="1"/>
  <c r="J21" i="5" s="1"/>
  <c r="K21" i="5" s="1"/>
  <c r="L21" i="5" s="1"/>
  <c r="H16" i="5"/>
  <c r="G16" i="5"/>
  <c r="I16" i="5" s="1"/>
  <c r="J16" i="5" s="1"/>
  <c r="K16" i="5" s="1"/>
  <c r="L16" i="5" s="1"/>
  <c r="H14" i="5"/>
  <c r="H13" i="5"/>
  <c r="G13" i="5"/>
  <c r="I13" i="5" s="1"/>
  <c r="J13" i="5" s="1"/>
  <c r="K13" i="5" s="1"/>
  <c r="L13" i="5" s="1"/>
  <c r="H12" i="5"/>
  <c r="I18" i="5" l="1"/>
  <c r="J18" i="5" s="1"/>
  <c r="K18" i="5" s="1"/>
  <c r="L18" i="5" s="1"/>
  <c r="G22" i="5"/>
  <c r="H22" i="5"/>
  <c r="J10" i="5"/>
  <c r="I22" i="5"/>
  <c r="F155" i="1"/>
  <c r="G155" i="1"/>
  <c r="H155" i="1"/>
  <c r="I155" i="1"/>
  <c r="F149" i="12"/>
  <c r="E149" i="12"/>
  <c r="D231" i="12"/>
  <c r="F163" i="12"/>
  <c r="E163" i="12"/>
  <c r="I91" i="1"/>
  <c r="H91" i="1"/>
  <c r="G91" i="1"/>
  <c r="F91" i="1"/>
  <c r="E73" i="1"/>
  <c r="E187" i="1" s="1"/>
  <c r="E190" i="1" s="1"/>
  <c r="D150" i="1"/>
  <c r="E186" i="1"/>
  <c r="I73" i="1"/>
  <c r="H73" i="1"/>
  <c r="G73" i="1"/>
  <c r="F73" i="1"/>
  <c r="D231" i="1"/>
  <c r="D220" i="1"/>
  <c r="D229" i="1" s="1"/>
  <c r="E231" i="1"/>
  <c r="E220" i="1"/>
  <c r="E229" i="1" s="1"/>
  <c r="F220" i="1"/>
  <c r="F230" i="1"/>
  <c r="G220" i="1"/>
  <c r="G230" i="1"/>
  <c r="H220" i="1"/>
  <c r="H230" i="1"/>
  <c r="I220" i="1"/>
  <c r="I230" i="1"/>
  <c r="F231" i="1"/>
  <c r="I231" i="1"/>
  <c r="H231" i="1"/>
  <c r="G231" i="1"/>
  <c r="E193" i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F20" i="7"/>
  <c r="H20" i="7" s="1"/>
  <c r="F21" i="7"/>
  <c r="F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11" i="7"/>
  <c r="K10" i="5" l="1"/>
  <c r="J22" i="5"/>
  <c r="E196" i="1"/>
  <c r="E197" i="1" s="1"/>
  <c r="H11" i="7"/>
  <c r="F30" i="7"/>
  <c r="C236" i="1"/>
  <c r="C237" i="1"/>
  <c r="C235" i="1"/>
  <c r="C234" i="1"/>
  <c r="C233" i="1"/>
  <c r="C232" i="1"/>
  <c r="C230" i="1"/>
  <c r="C222" i="1"/>
  <c r="C213" i="1"/>
  <c r="C211" i="1" s="1"/>
  <c r="C160" i="1"/>
  <c r="X13" i="2"/>
  <c r="F11" i="10"/>
  <c r="F10" i="10"/>
  <c r="F22" i="5"/>
  <c r="E22" i="5"/>
  <c r="C22" i="5"/>
  <c r="F19" i="5"/>
  <c r="H19" i="5" s="1"/>
  <c r="L10" i="5" l="1"/>
  <c r="L22" i="5" s="1"/>
  <c r="K22" i="5"/>
  <c r="C231" i="1"/>
  <c r="C220" i="1"/>
  <c r="C229" i="1" s="1"/>
  <c r="X14" i="2"/>
  <c r="X15" i="2"/>
  <c r="E19" i="5"/>
  <c r="G19" i="5" s="1"/>
  <c r="I19" i="5" s="1"/>
  <c r="J19" i="5" s="1"/>
  <c r="K19" i="5" s="1"/>
  <c r="L19" i="5" s="1"/>
  <c r="C19" i="5"/>
  <c r="E12" i="5"/>
  <c r="G12" i="5" s="1"/>
  <c r="I12" i="5" s="1"/>
  <c r="J12" i="5" s="1"/>
  <c r="K12" i="5" s="1"/>
  <c r="L12" i="5" s="1"/>
  <c r="D19" i="5" l="1"/>
  <c r="E12" i="10"/>
  <c r="F12" i="10"/>
  <c r="G12" i="10"/>
  <c r="H12" i="10"/>
  <c r="I12" i="10"/>
  <c r="J12" i="10"/>
  <c r="K12" i="10"/>
  <c r="C12" i="10"/>
  <c r="D13" i="5"/>
  <c r="D18" i="5"/>
  <c r="D22" i="5" s="1"/>
  <c r="C17" i="5" l="1"/>
  <c r="C12" i="5" s="1"/>
  <c r="E30" i="7" l="1"/>
  <c r="G30" i="7"/>
  <c r="H30" i="7" s="1"/>
  <c r="C118" i="1"/>
  <c r="D108" i="1"/>
  <c r="D95" i="1"/>
  <c r="C185" i="1"/>
  <c r="D73" i="1" l="1"/>
  <c r="D187" i="1" s="1"/>
  <c r="D152" i="1"/>
  <c r="D118" i="1"/>
  <c r="C103" i="1"/>
  <c r="C81" i="1"/>
  <c r="C150" i="1" s="1"/>
  <c r="C146" i="1"/>
  <c r="D146" i="1"/>
  <c r="C74" i="1"/>
  <c r="D104" i="1"/>
  <c r="C124" i="1"/>
  <c r="D124" i="1"/>
  <c r="I30" i="7"/>
  <c r="D103" i="1" l="1"/>
  <c r="D190" i="1"/>
  <c r="D186" i="1"/>
  <c r="C148" i="1"/>
  <c r="D148" i="1"/>
  <c r="D155" i="1" s="1"/>
  <c r="D193" i="1" l="1"/>
  <c r="D196" i="1" l="1"/>
  <c r="D197" i="1" s="1"/>
  <c r="C73" i="1"/>
  <c r="C186" i="1" l="1"/>
  <c r="C193" i="1" s="1"/>
  <c r="C187" i="1"/>
  <c r="C190" i="1" s="1"/>
  <c r="C196" i="1"/>
  <c r="C197" i="1" s="1"/>
  <c r="C155" i="1"/>
</calcChain>
</file>

<file path=xl/sharedStrings.xml><?xml version="1.0" encoding="utf-8"?>
<sst xmlns="http://schemas.openxmlformats.org/spreadsheetml/2006/main" count="1053" uniqueCount="570">
  <si>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</si>
  <si>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</si>
  <si>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</si>
  <si>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</si>
  <si>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</si>
  <si>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</si>
  <si>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</si>
  <si>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</si>
  <si>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</si>
  <si>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</si>
  <si>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</si>
  <si>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</si>
  <si>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</si>
  <si>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</si>
  <si>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</si>
  <si>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</si>
  <si>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</si>
  <si>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</si>
  <si>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</si>
  <si>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</si>
  <si>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</si>
  <si>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</si>
  <si>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</si>
  <si>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</si>
  <si>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</si>
  <si>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</si>
  <si>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</si>
  <si>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</si>
  <si>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</si>
  <si>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</si>
  <si>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</si>
  <si>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</si>
  <si>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</si>
  <si>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</si>
  <si>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</si>
  <si>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</si>
  <si>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</si>
  <si>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</si>
  <si>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</si>
  <si>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</si>
  <si>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</si>
  <si>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</si>
  <si>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</si>
  <si>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</si>
  <si>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</si>
  <si>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</si>
  <si>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</si>
  <si>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</si>
  <si>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</si>
  <si>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</si>
  <si>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</si>
  <si>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</si>
  <si>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</si>
  <si>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</si>
  <si>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</si>
  <si>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</si>
  <si>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</si>
  <si>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</si>
  <si>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</si>
  <si>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</si>
  <si>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</si>
  <si>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Адміністративні витрати, в т.ч.:</t>
  </si>
  <si>
    <t>Витрати на товари, заходи, в т.ч.:</t>
  </si>
  <si>
    <t>сума рядків 1311,1312-1316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</si>
  <si>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</si>
  <si>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</si>
  <si>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</si>
  <si>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</si>
  <si>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</si>
  <si>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</si>
  <si>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</si>
  <si>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Витрати на комунальні послуги та енергоносії</t>
  </si>
  <si>
    <t>Витрати на охорону праці та навчання працівників</t>
  </si>
  <si>
    <t>Інші адміністративні витрати, в т.ч.:</t>
  </si>
  <si>
    <t>Інші витрати від операційної діяльності, в т.ч.:</t>
  </si>
  <si>
    <t>Витрати на збут, в т.ч.:</t>
  </si>
  <si>
    <t>сума рядків 1510-1550</t>
  </si>
  <si>
    <t>Матеріальні затрати</t>
  </si>
  <si>
    <t>Інші операційні витрати, в т.ч.:</t>
  </si>
  <si>
    <t>витрати на рекламу, гарантійний ремонт (обслуговування) тощо</t>
  </si>
  <si>
    <t>Інші фінансові витрати, усього, у тому числі (розшифрувати):</t>
  </si>
  <si>
    <t>ІІ. Елементи операційних витрат</t>
  </si>
  <si>
    <t>Витрати на оплату праці, в т.ч.:</t>
  </si>
  <si>
    <t>у т.ч. за рахунок місцевого бюджету</t>
  </si>
  <si>
    <t>Інші операційні витрати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</si>
  <si>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</si>
  <si>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</si>
  <si>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</si>
  <si>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</si>
  <si>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</si>
  <si>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</si>
  <si>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</si>
  <si>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</si>
  <si>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</si>
  <si>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</si>
  <si>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</si>
  <si>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</si>
  <si>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</si>
  <si>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</si>
  <si>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</si>
  <si>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</si>
  <si>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</si>
  <si>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</si>
  <si>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</si>
  <si>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</si>
  <si>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</si>
  <si>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</si>
  <si>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</si>
  <si>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</si>
  <si>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</si>
  <si>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</si>
  <si>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</si>
  <si>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</si>
  <si>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</si>
  <si>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</si>
  <si>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</si>
  <si>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</si>
  <si>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</si>
  <si>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</si>
  <si>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Витрати на оплату праці (грн.), усього, в тому числі:</t>
  </si>
  <si>
    <t xml:space="preserve">Середньомісячні витрати на оплату праці
одного працівника (грн), усього, у тому числі:
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</si>
  <si>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</si>
  <si>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</si>
  <si>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</si>
  <si>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</si>
  <si>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</si>
  <si>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</si>
  <si>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</si>
  <si>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</si>
  <si>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</si>
  <si>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</si>
  <si>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 xml:space="preserve">                                (посада)</t>
  </si>
  <si>
    <t xml:space="preserve">         (Власне ім'я, ПРІЗВИЩЕ)    </t>
  </si>
  <si>
    <t>Виконавець</t>
  </si>
  <si>
    <t>Джерела капітальних інвестицій</t>
  </si>
  <si>
    <t>тис.грн. (без ПДВ)</t>
  </si>
  <si>
    <t>№ з/п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</si>
  <si>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</si>
  <si>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</si>
  <si>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</si>
  <si>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</si>
  <si>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</si>
  <si>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</si>
  <si>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</si>
  <si>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</si>
  <si>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</si>
  <si>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</si>
  <si>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</si>
  <si>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</si>
  <si>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</si>
  <si>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</si>
  <si>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</si>
  <si>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</si>
  <si>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</si>
  <si>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</si>
  <si>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</si>
  <si>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</si>
  <si>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</si>
  <si>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</si>
  <si>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</si>
  <si>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</si>
  <si>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</si>
  <si>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</si>
  <si>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</si>
  <si>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</si>
  <si>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</si>
  <si>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</si>
  <si>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</si>
  <si>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</si>
  <si>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</si>
  <si>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</si>
  <si>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</si>
  <si>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</si>
  <si>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</si>
  <si>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</si>
  <si>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</si>
  <si>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</si>
  <si>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</si>
  <si>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</si>
  <si>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</si>
  <si>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</si>
  <si>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</si>
  <si>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</si>
  <si>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</si>
  <si>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</si>
  <si>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</si>
  <si>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</si>
  <si>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</si>
  <si>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</si>
  <si>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</si>
  <si>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</si>
  <si>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</si>
  <si>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</si>
  <si>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</si>
  <si>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</si>
  <si>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</si>
  <si>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</si>
  <si>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</si>
  <si>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</si>
  <si>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</si>
  <si>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</si>
  <si>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</si>
  <si>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</si>
  <si>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</si>
  <si>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</si>
  <si>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</si>
  <si>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</si>
  <si>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</si>
  <si>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</si>
  <si>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</si>
  <si>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</si>
  <si>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</si>
  <si>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</si>
  <si>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</si>
  <si>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</si>
  <si>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</si>
  <si>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</si>
  <si>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</si>
  <si>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</si>
  <si>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</si>
  <si>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</si>
  <si>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</si>
  <si>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</si>
  <si>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Таблиця 5</t>
  </si>
  <si>
    <t>Відомості про майно</t>
  </si>
  <si>
    <t>Назва майна</t>
  </si>
  <si>
    <t>Місце знаходження</t>
  </si>
  <si>
    <t>Сума нарахованого зносу (тис.грн.)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</si>
  <si>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</si>
  <si>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</si>
  <si>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</si>
  <si>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</si>
  <si>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</si>
  <si>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</si>
  <si>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</si>
  <si>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</si>
  <si>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</si>
  <si>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6</t>
  </si>
  <si>
    <t>Транспортні витрати</t>
  </si>
  <si>
    <t xml:space="preserve">Витрати, повязані з використанням власних службових автомобілів 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</si>
  <si>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</si>
  <si>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</si>
  <si>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</si>
  <si>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</si>
  <si>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</si>
  <si>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</si>
  <si>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минулого року</t>
  </si>
  <si>
    <t>плановий рік</t>
  </si>
  <si>
    <t>Разом: 100%</t>
  </si>
  <si>
    <t>на покращення якості послуг</t>
  </si>
  <si>
    <t>виконання зобов’язань по виплаті заробітної плати</t>
  </si>
  <si>
    <t>оплата податків та зборів, за спожиті енергоносії, тощо</t>
  </si>
  <si>
    <t>подолання наслідків стихії, надзвичайних ситуацій та аварій</t>
  </si>
  <si>
    <t>вивезення твердих побутових відходів</t>
  </si>
  <si>
    <t>надання ритуальних послуг</t>
  </si>
  <si>
    <t>послуги з водопостачання</t>
  </si>
  <si>
    <t>послуги з водовідведення</t>
  </si>
  <si>
    <t>управління багатоквартирними будинками</t>
  </si>
  <si>
    <t>надання інших послуг (послуги автотранспорту, виконання інших робіт)</t>
  </si>
  <si>
    <t>за окремим видом діяльності, згідно КВЕД</t>
  </si>
  <si>
    <t>Витрати на матеріали та сировину, в т.ч.:</t>
  </si>
  <si>
    <t xml:space="preserve">витрати на сировину і основні матеріали </t>
  </si>
  <si>
    <t>на проведення заходів з комплексного благоустрою населених пунктів</t>
  </si>
  <si>
    <t>поховання померлих одиноких громадян</t>
  </si>
  <si>
    <t>відрахування до профспілки</t>
  </si>
  <si>
    <t>обладнання та устаткування</t>
  </si>
  <si>
    <t xml:space="preserve">запасні частини 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</si>
  <si>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</si>
  <si>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</si>
  <si>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Усього витрат (сума рядків 1100, 1300, 1500, 1600, 1700, 1800, 3100, 4020)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</si>
  <si>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</si>
  <si>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</si>
  <si>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</si>
  <si>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</si>
  <si>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</si>
  <si>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</si>
  <si>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</si>
  <si>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</si>
  <si>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</si>
  <si>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>на розвиток виробництва (виробничі інвестиції), інше використання прибутку тощо</t>
  </si>
  <si>
    <t>загальновиробничий персонал</t>
  </si>
  <si>
    <t>адміністративно-управлінський персонал, в т.ч.:</t>
  </si>
  <si>
    <t>керівник підприємства за контрактом</t>
  </si>
  <si>
    <t>професіонали</t>
  </si>
  <si>
    <t>керівники</t>
  </si>
  <si>
    <t xml:space="preserve">фахівці </t>
  </si>
  <si>
    <t>технічні службовці</t>
  </si>
  <si>
    <t>робочі основного фонду</t>
  </si>
  <si>
    <t>7002/1</t>
  </si>
  <si>
    <t>7002/2</t>
  </si>
  <si>
    <t>7002/3</t>
  </si>
  <si>
    <t>7002/4</t>
  </si>
  <si>
    <t>7012/1</t>
  </si>
  <si>
    <t>7012/2</t>
  </si>
  <si>
    <t>7012/3</t>
  </si>
  <si>
    <t>7012/4</t>
  </si>
  <si>
    <t>7022/1</t>
  </si>
  <si>
    <t>7022/2</t>
  </si>
  <si>
    <t>7022/3</t>
  </si>
  <si>
    <t>7022/4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</si>
  <si>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</si>
  <si>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</si>
  <si>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</si>
  <si>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</si>
  <si>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</si>
  <si>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</si>
  <si>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Сплата поточних податків та обов’язкових платежів до бюджету,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</si>
  <si>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</si>
  <si>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</si>
  <si>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</si>
  <si>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</si>
  <si>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Погашення податкової заборгованості, у т.ч.:</t>
  </si>
  <si>
    <t>внески до фондів соціального страхування</t>
  </si>
  <si>
    <t xml:space="preserve">інші платежі </t>
  </si>
  <si>
    <t>Внески до державних цільових фондів, у т.ч.:</t>
  </si>
  <si>
    <t>Інші обов’язкові платежі, у т.ч.:</t>
  </si>
  <si>
    <t>місцеві податки та збори, в т.ч.:</t>
  </si>
  <si>
    <t>7071/1</t>
  </si>
  <si>
    <t>7071/2</t>
  </si>
  <si>
    <t>7071/3</t>
  </si>
  <si>
    <t>7071/4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</si>
  <si>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</si>
  <si>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</si>
  <si>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</si>
  <si>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ЗВІТ ПРО ВИКОНАННЯ ФІНАНСОВОГО ПЛАНУ</t>
  </si>
  <si>
    <t>(назва підприємства)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</si>
  <si>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</si>
  <si>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</si>
  <si>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</si>
  <si>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</si>
  <si>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</si>
  <si>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</si>
  <si>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</si>
  <si>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</si>
  <si>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</si>
  <si>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</si>
  <si>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</si>
  <si>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</si>
  <si>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</si>
  <si>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х</t>
  </si>
  <si>
    <t>у загальних доходах</t>
  </si>
  <si>
    <t>у загальних видатках</t>
  </si>
  <si>
    <t xml:space="preserve">Інформація про бізнес підприємства </t>
  </si>
  <si>
    <t>Структура операційних витрат з реалізованої продукції (робіт, послуг) за основними видами економічної діяльності</t>
  </si>
  <si>
    <t>Вид діяльності</t>
  </si>
  <si>
    <t>за рахунок власних коштів</t>
  </si>
  <si>
    <t>за рахунок місцевого бюджету</t>
  </si>
  <si>
    <t>За елементами витрат</t>
  </si>
  <si>
    <t>Відрахування на соціальні заходи, в т.ч.:</t>
  </si>
  <si>
    <t>Матеріальні затрати, в т.ч.:</t>
  </si>
  <si>
    <t>тис.грн. (0,000)</t>
  </si>
  <si>
    <t>Таблиця 8</t>
  </si>
  <si>
    <t>(підпис)</t>
  </si>
  <si>
    <t>Затверджений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</si>
  <si>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</si>
  <si>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</si>
  <si>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</si>
  <si>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Витрати на культурно-масові заходи</t>
  </si>
  <si>
    <t>1441…</t>
  </si>
  <si>
    <t>Показники</t>
  </si>
  <si>
    <t>Одиниця вимиру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</si>
  <si>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</si>
  <si>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</si>
  <si>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</si>
  <si>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</si>
  <si>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</si>
  <si>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Технологічні витрати і витрати у водопровідних мережах</t>
  </si>
  <si>
    <t>Реалізація води</t>
  </si>
  <si>
    <t>тис.м.куб.</t>
  </si>
  <si>
    <t>Пропущено стоків через очісні споруди</t>
  </si>
  <si>
    <t>Прийом стоків</t>
  </si>
  <si>
    <t>по водопостачанню</t>
  </si>
  <si>
    <t>по водовідведенню</t>
  </si>
  <si>
    <t>Розрахунок обсягів надання послуг підприємств водопровідно-каналізаційного господарства</t>
  </si>
  <si>
    <t>Таблиця 9</t>
  </si>
  <si>
    <t>Таблиця 10</t>
  </si>
  <si>
    <t>доставка померлих одиноких громадян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</si>
  <si>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</si>
  <si>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</si>
  <si>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</si>
  <si>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за вивіз ТПВ, нечистот</t>
  </si>
  <si>
    <t>витрати на канцтовари, офісне приладдя та устаткування</t>
  </si>
  <si>
    <t>Витрати на підвищення кваліфікації та перепідготовку кадрів</t>
  </si>
  <si>
    <t>1041/1</t>
  </si>
  <si>
    <t>1041/2</t>
  </si>
  <si>
    <t>1041/3</t>
  </si>
  <si>
    <t>1041/4</t>
  </si>
  <si>
    <t>1041/5</t>
  </si>
  <si>
    <t>1041/6</t>
  </si>
  <si>
    <t>1042/1</t>
  </si>
  <si>
    <t>1042/2</t>
  </si>
  <si>
    <t>1043/1</t>
  </si>
  <si>
    <t>1043/2</t>
  </si>
  <si>
    <t>сума рядків 1001,1002,1003,1004,1005,1006</t>
  </si>
  <si>
    <t>сума рядків 1021,1022,1023,1024,1025,1026</t>
  </si>
  <si>
    <t>сума рядків 1041,1042, 1043</t>
  </si>
  <si>
    <t>сума рядків 1051-1056</t>
  </si>
  <si>
    <t>1211…</t>
  </si>
  <si>
    <t>сума рядків 1110,1120,1130-1210</t>
  </si>
  <si>
    <t>сума рядків 1111-1116</t>
  </si>
  <si>
    <t>сума рядків 1121-1126</t>
  </si>
  <si>
    <t>сума рядків 1310,1320-1440,1450,1460</t>
  </si>
  <si>
    <t>сума рядків 1140, 1320, 1520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</si>
  <si>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</si>
  <si>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</si>
  <si>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</si>
  <si>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</si>
  <si>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сума рядків 1210, 1460, 1550, 1600, 1700</t>
  </si>
  <si>
    <t>5000-5010</t>
  </si>
  <si>
    <t>Усього доходів (сума рядків 1020, 1030, 1040, 1050, 3000, 4000)</t>
  </si>
  <si>
    <t>Валовий прибуток (збиток)</t>
  </si>
  <si>
    <t>Податок на прибуток</t>
  </si>
  <si>
    <t>5040-5050</t>
  </si>
  <si>
    <t>VІІ. Додаткова інформація</t>
  </si>
  <si>
    <t>VІІІ. Коефіцієнтний аналіз</t>
  </si>
  <si>
    <t>Додаток 2.1. до Фінансового плану на ________ рік</t>
  </si>
  <si>
    <t>Додаток 2.9.</t>
  </si>
  <si>
    <t>витрати на культурно-масові заходи</t>
  </si>
  <si>
    <t>Таблиця 13</t>
  </si>
  <si>
    <t>Залишок коштів на початок періоду</t>
  </si>
  <si>
    <t>Залишок коштів на кінець періоду</t>
  </si>
  <si>
    <t>Інші витрати на збут, в т.ч.:</t>
  </si>
  <si>
    <t>Інші операційні  витрати, усього, у тому числі (розшифрувати):</t>
  </si>
  <si>
    <t>Інші операційні витрати, усього, у тому числі (розшифрувати):</t>
  </si>
  <si>
    <t>(1020+1040+1050)-1100</t>
  </si>
  <si>
    <t>Додаток 2 до Порядку</t>
  </si>
  <si>
    <t>рядок</t>
  </si>
  <si>
    <t>Питома вага доходу з місцевого бюджету у загальних доходах підприємства (%),  (рядок 1040/рядок 5000)х100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</si>
  <si>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</si>
  <si>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</si>
  <si>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</si>
  <si>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Боярськоїї міської ради</t>
  </si>
  <si>
    <t xml:space="preserve">Рішення виконавчого комітету </t>
  </si>
  <si>
    <t>від ___________________ року №</t>
  </si>
  <si>
    <t xml:space="preserve">тис. грн. </t>
  </si>
  <si>
    <t>Керуючий справами виконавчого комітету</t>
  </si>
  <si>
    <t>Г.Саламатіна</t>
  </si>
  <si>
    <t xml:space="preserve">                                                   ВИКОРИСТАННЯ ТРУДОВИХ РЕСУРСІВ                                                             Таблиця 4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</si>
  <si>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</si>
  <si>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Середньооблікова к-ть штатних працівників</t>
  </si>
  <si>
    <t>Дохід (виручка) від реалізації продукції (товарів, робіт, послуг), в т.ч.:</t>
  </si>
  <si>
    <t>Ресурсні податки</t>
  </si>
  <si>
    <t>електроенергія</t>
  </si>
  <si>
    <t>Витрати на створення резерву сумнівних боргів</t>
  </si>
  <si>
    <t>Оплата праці</t>
  </si>
  <si>
    <t>Судові витрати</t>
  </si>
  <si>
    <t>Пені, штрафи, неустойки</t>
  </si>
  <si>
    <t>м. Боярка</t>
  </si>
  <si>
    <t>ГАЗ-3309 №АІ 71-44СН</t>
  </si>
  <si>
    <t>Діяльність дільниці водопостачання</t>
  </si>
  <si>
    <t>МАЗ-4381 №АІ 93-51ЕТ</t>
  </si>
  <si>
    <t>ГАЗ- А22 R33-55  № АІ 08-96 ЕХ</t>
  </si>
  <si>
    <t>Діяльність дільниці водовідведення</t>
  </si>
  <si>
    <t>ЗІЛ 433362 № АІ 71-42 СН</t>
  </si>
  <si>
    <t>ГАЗ-3309 №АІ 71-08 СН</t>
  </si>
  <si>
    <t>ГАЗ-3309 №АІ71-19 СН</t>
  </si>
  <si>
    <t>ГАЗ-31105  №АІ 71-06 СН</t>
  </si>
  <si>
    <t>Загальновиробничі потреби</t>
  </si>
  <si>
    <t>ГАЗ-3302-414 № АІ 71-43 СН</t>
  </si>
  <si>
    <t>ГАЗ- 3309 № АІ 71-16 СН</t>
  </si>
  <si>
    <t>ЗІЛ-ММЗ № АІ 43-36 ВЕ</t>
  </si>
  <si>
    <t>Газ 52 Бортовий АІ 77-35 АІ</t>
  </si>
  <si>
    <t>ГАЗ 66 АІ 61-20 ВЕ</t>
  </si>
  <si>
    <t>УАЗ 3741 №АІ 72-30 МР</t>
  </si>
  <si>
    <t>МАЗ- 5550С3 № АІ 70-21 НВ</t>
  </si>
  <si>
    <t>JСВ 3 сх № 119-77 АІ</t>
  </si>
  <si>
    <t>МАЗ 4381 №АІ 10-86 НС</t>
  </si>
  <si>
    <t>Екскаватор "Борекс"2206 № 244-67 КА</t>
  </si>
  <si>
    <t>ВАЗ 210700-20          AI8912OP</t>
  </si>
  <si>
    <t>DAEWOO Lanos № AI 96-70 OC</t>
  </si>
  <si>
    <t>37.00</t>
  </si>
  <si>
    <t>36.00</t>
  </si>
  <si>
    <t>Централізоване водопостачання</t>
  </si>
  <si>
    <t>Централізоване водовідведення</t>
  </si>
  <si>
    <t>Придбання генераторів</t>
  </si>
  <si>
    <t>Київська обл</t>
  </si>
  <si>
    <t>Комунальне підприємство</t>
  </si>
  <si>
    <t>КП  " Боярка-Водоканал"</t>
  </si>
  <si>
    <t>Централізоване водопостачання та централізоване водовідведення</t>
  </si>
  <si>
    <t>комунальна</t>
  </si>
  <si>
    <t>с.Тарасівка вул. Патріотів,4</t>
  </si>
  <si>
    <t>Михеєнко Андрій Васильович</t>
  </si>
  <si>
    <t>30687118</t>
  </si>
  <si>
    <t>UA32140030010045925</t>
  </si>
  <si>
    <t xml:space="preserve">за програмою Розвитку благоустрою населених пунктів Боярської міської ради на 2021 - 2025 роки, в т.ч.:
</t>
  </si>
  <si>
    <t>за Комплексною Програмою соціального захисту населення Боярської міської ради на 2021 – 2025 роки, в т.ч.:</t>
  </si>
  <si>
    <t>за програмою «Відшкодування різниці між розміром тарифу та розміром економічно обгрунтованих витрат на їх виробництво Боярської міської ради  
на 2022 рік», в т.ч.:</t>
  </si>
  <si>
    <t>Директор</t>
  </si>
  <si>
    <t>Андрій Михеєнко</t>
  </si>
  <si>
    <t>Додаток 2.5.  до Фінансового плану на 2023 рік</t>
  </si>
  <si>
    <t xml:space="preserve">Інші послуги </t>
  </si>
  <si>
    <t>Витрати від надання інших послуг</t>
  </si>
  <si>
    <t>Звітний період ( 4 квартал 2022 року)</t>
  </si>
  <si>
    <t>Комунальне підприємство " Боярка-Водоканал "</t>
  </si>
  <si>
    <t>За програмою реформування і розвитку ЖКГ БМР на 2022-2025 рр, (матеріали для розвитку підприємства)</t>
  </si>
  <si>
    <t>За програмою реформування і розвитку ЖКГ БМР на 2022-2025 ррВнески до статутного капіталу КП «Боярка-Водоканал» (придбання насосів для свердловин)</t>
  </si>
  <si>
    <t>Додаткові послуги</t>
  </si>
  <si>
    <t>ПОГОДЖЕНО</t>
  </si>
  <si>
    <t>Управління фінансів</t>
  </si>
  <si>
    <t>Боярської міської ради</t>
  </si>
  <si>
    <t>від ____________року №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</si>
  <si>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</si>
  <si>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</si>
  <si>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</si>
  <si>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Раїса Деремедведь тел. 067 4631365</t>
  </si>
  <si>
    <t>за спожиту електроенергію</t>
  </si>
  <si>
    <t xml:space="preserve">За програмою реформування та розвитку житлово-комунального господарства Боярської міської ТГ на 2022-2025рр, у т.ч. </t>
  </si>
  <si>
    <t>матеріали для розвитку підприємства</t>
  </si>
  <si>
    <t xml:space="preserve">внески до статутного капіталу КП "Боярка-Водоканал" (придбання насосів для свердловин) </t>
  </si>
  <si>
    <t>тис. грн</t>
  </si>
  <si>
    <t>виготовлення прєкту</t>
  </si>
  <si>
    <t>медогляд</t>
  </si>
  <si>
    <t>послуги автотранспорту</t>
  </si>
  <si>
    <t xml:space="preserve">Оплата послуг (крім комунальних) </t>
  </si>
  <si>
    <t>протиепідемічні заходи</t>
  </si>
  <si>
    <t>витрати на ПММ (генератор)</t>
  </si>
  <si>
    <t>послуги банку</t>
  </si>
  <si>
    <t>послуги з охорони обєкта</t>
  </si>
  <si>
    <t>поштові витрати</t>
  </si>
  <si>
    <t>навчання з охорони праці</t>
  </si>
  <si>
    <t>послуг  банка</t>
  </si>
  <si>
    <t>інші послуги</t>
  </si>
  <si>
    <t>ПММ</t>
  </si>
  <si>
    <t>на заробітну плату</t>
  </si>
  <si>
    <t>Інші витрати</t>
  </si>
  <si>
    <t>інші доходи  (амортизація )</t>
  </si>
  <si>
    <t>військовий збір</t>
  </si>
  <si>
    <t>7071/5</t>
  </si>
  <si>
    <t>благодійні внески від громадян та організацій тощо(паливо для генераторів)</t>
  </si>
  <si>
    <t>за  2022  рік</t>
  </si>
  <si>
    <t>Директор КП "Боярка-Водоканал"</t>
  </si>
  <si>
    <t>Андрій МИХЕЄНКО</t>
  </si>
  <si>
    <t>Гол.економіст Раїса Деремедведь</t>
  </si>
  <si>
    <t>тел. 0674631365</t>
  </si>
  <si>
    <t>Уточнений фінансовий план _2023___ року</t>
  </si>
  <si>
    <t>Факт 2022____ року</t>
  </si>
  <si>
    <t>Спецхарчування</t>
  </si>
  <si>
    <t>Медогляд</t>
  </si>
  <si>
    <t>Оренда ОС</t>
  </si>
  <si>
    <t>Мобільні послуги та послуги інтернету</t>
  </si>
  <si>
    <t>Ресурсні податки, протиепідемічні заходи</t>
  </si>
  <si>
    <t>ПММ (генератори)</t>
  </si>
  <si>
    <t>Послуги банку</t>
  </si>
  <si>
    <t>Періодичні видання</t>
  </si>
  <si>
    <t>Послуги з охорони обєкта</t>
  </si>
  <si>
    <t>Поштові витрати</t>
  </si>
  <si>
    <t>матеріали (паливо)</t>
  </si>
  <si>
    <t>Втрати ПДВ</t>
  </si>
  <si>
    <t>Плановий рік 2024  (усього)</t>
  </si>
  <si>
    <t>Виготовлення проєкту, дослідження води</t>
  </si>
  <si>
    <t xml:space="preserve">ФІНАНСОВИЙ ПЛАН ПІДПРИЄМСТВА НА 2024 рік </t>
  </si>
  <si>
    <t>обладнання та устаткування (кошти з бюджету)</t>
  </si>
  <si>
    <t>5020-1300-1500-1600-1700</t>
  </si>
  <si>
    <t>Придбання насосів</t>
  </si>
  <si>
    <t>Факт 2022 року</t>
  </si>
  <si>
    <t>Уточнений фінансовий план 2023 року</t>
  </si>
  <si>
    <t>Додаток 2.4. до Фінансового плану на 2024рік</t>
  </si>
  <si>
    <t>на 2024 рік</t>
  </si>
  <si>
    <t>Додаток 2.2. до Фінансового плану на 2024 рік</t>
  </si>
  <si>
    <t>Додаток 2.3. до Фінансового плану на 2024 рік</t>
  </si>
  <si>
    <t>Залишкова вартість (тис.грн.) на 01.01.2024 р.</t>
  </si>
  <si>
    <t>Балансова вартість (тис.грн.) на 01.01.2023р.</t>
  </si>
  <si>
    <t>факт 2022 року</t>
  </si>
  <si>
    <t>уточнений фінансовий план 2023 року</t>
  </si>
  <si>
    <t>Додаток 2.6. до Фінансового плану на 2024 рік</t>
  </si>
  <si>
    <t>Додаток 2.7. до Фінансового плану на _2024_ рік</t>
  </si>
  <si>
    <t>Факт  2022 року</t>
  </si>
  <si>
    <t>Додаток 2.8. до Фінансового плану на 2024 рік</t>
  </si>
  <si>
    <t>Раїса Деремедведь</t>
  </si>
  <si>
    <t>Ганна Саламатіна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</si>
</sst>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(* #,##0.0_);_(* \(#,##0.0\);_(* &quot;-&quot;_);_(@_)"/>
    <numFmt numFmtId="166" formatCode="#,##0.0"/>
    <numFmt numFmtId="167" formatCode="_(* #,##0.0_);_(* \(#,##0.0\);_(* &quot;-&quot;??_);_(@_)"/>
    <numFmt numFmtId="168" formatCode="0.000"/>
    <numFmt numFmtId="169" formatCode="0000"/>
    <numFmt numFmtId="170" formatCode="_-* #,##0.00\ _₴_-;\-* #,##0.00\ _₴_-;_-* &quot;-&quot;??\ _₴_-;_-@_-"/>
    <numFmt numFmtId="171" formatCode="0.0"/>
    <numFmt numFmtId="172" formatCode="_-* #,##0.0\ _₴_-;\-* #,##0.0\ _₴_-;_-* &quot;-&quot;?\ _₴_-;_-@_-"/>
    <numFmt numFmtId="173" formatCode="_(* #,##0.00_);_(* \(#,##0.00\);_(* &quot;-&quot;_);_(@_)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3" fillId="0" borderId="0"/>
    <xf numFmtId="164" fontId="23" fillId="0" borderId="0" applyFont="0" applyFill="0" applyBorder="0" applyAlignment="0" applyProtection="0"/>
  </cellStyleXfs>
  <cellXfs count="4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 shrinkToFit="1"/>
    </xf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 shrinkToFit="1"/>
    </xf>
    <xf numFmtId="2" fontId="10" fillId="2" borderId="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wrapText="1"/>
    </xf>
    <xf numFmtId="0" fontId="14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0" fontId="21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5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2" fontId="10" fillId="0" borderId="1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22" fillId="0" borderId="0" xfId="0" applyNumberFormat="1" applyFont="1" applyAlignment="1">
      <alignment horizontal="center" vertical="center" wrapText="1"/>
    </xf>
    <xf numFmtId="0" fontId="26" fillId="3" borderId="0" xfId="1" applyFont="1" applyFill="1"/>
    <xf numFmtId="0" fontId="26" fillId="3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8" fillId="2" borderId="0" xfId="0" applyFont="1" applyFill="1"/>
    <xf numFmtId="0" fontId="25" fillId="0" borderId="8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1" fillId="0" borderId="8" xfId="0" applyFont="1" applyBorder="1"/>
    <xf numFmtId="0" fontId="9" fillId="0" borderId="8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0" fillId="2" borderId="0" xfId="0" applyFill="1"/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" fillId="0" borderId="8" xfId="0" quotePrefix="1" applyFont="1" applyBorder="1" applyAlignment="1">
      <alignment horizontal="center" vertical="center"/>
    </xf>
    <xf numFmtId="0" fontId="1" fillId="3" borderId="0" xfId="1" applyFont="1" applyFill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2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right"/>
    </xf>
    <xf numFmtId="0" fontId="3" fillId="2" borderId="1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0" fontId="3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 shrinkToFit="1"/>
    </xf>
    <xf numFmtId="0" fontId="36" fillId="2" borderId="5" xfId="0" applyFont="1" applyFill="1" applyBorder="1" applyAlignment="1" applyProtection="1">
      <alignment horizontal="left" vertical="center" wrapText="1"/>
      <protection locked="0"/>
    </xf>
    <xf numFmtId="169" fontId="36" fillId="0" borderId="5" xfId="0" applyNumberFormat="1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/>
    <xf numFmtId="0" fontId="38" fillId="2" borderId="1" xfId="0" applyFont="1" applyFill="1" applyBorder="1" applyAlignment="1">
      <alignment horizontal="left" vertical="center" wrapText="1"/>
    </xf>
    <xf numFmtId="0" fontId="38" fillId="2" borderId="1" xfId="0" quotePrefix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2" borderId="1" xfId="0" quotePrefix="1" applyFont="1" applyFill="1" applyBorder="1" applyAlignment="1">
      <alignment horizontal="center" vertical="center"/>
    </xf>
    <xf numFmtId="0" fontId="36" fillId="2" borderId="1" xfId="0" quotePrefix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1" xfId="0" quotePrefix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 indent="1"/>
    </xf>
    <xf numFmtId="0" fontId="38" fillId="0" borderId="1" xfId="0" quotePrefix="1" applyFont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 indent="1"/>
    </xf>
    <xf numFmtId="0" fontId="3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wrapText="1"/>
    </xf>
    <xf numFmtId="0" fontId="43" fillId="2" borderId="1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wrapText="1"/>
    </xf>
    <xf numFmtId="0" fontId="44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2" borderId="1" xfId="0" applyFont="1" applyFill="1" applyBorder="1" applyAlignment="1">
      <alignment wrapText="1"/>
    </xf>
    <xf numFmtId="0" fontId="44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wrapText="1"/>
    </xf>
    <xf numFmtId="0" fontId="40" fillId="0" borderId="1" xfId="0" applyFont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wrapText="1"/>
    </xf>
    <xf numFmtId="0" fontId="40" fillId="0" borderId="1" xfId="0" applyFont="1" applyBorder="1" applyAlignment="1">
      <alignment wrapText="1"/>
    </xf>
    <xf numFmtId="0" fontId="38" fillId="0" borderId="1" xfId="0" applyFont="1" applyBorder="1" applyAlignment="1">
      <alignment horizontal="left" wrapText="1"/>
    </xf>
    <xf numFmtId="0" fontId="45" fillId="0" borderId="1" xfId="0" applyFont="1" applyBorder="1" applyAlignment="1">
      <alignment horizontal="right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8" fillId="0" borderId="1" xfId="0" applyFont="1" applyBorder="1" applyAlignment="1">
      <alignment horizontal="left" vertical="top" wrapText="1"/>
    </xf>
    <xf numFmtId="164" fontId="1" fillId="2" borderId="1" xfId="2" quotePrefix="1" applyFont="1" applyFill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 wrapText="1"/>
    </xf>
    <xf numFmtId="170" fontId="1" fillId="2" borderId="1" xfId="0" quotePrefix="1" applyNumberFormat="1" applyFont="1" applyFill="1" applyBorder="1" applyAlignment="1">
      <alignment horizontal="center" vertical="center"/>
    </xf>
    <xf numFmtId="170" fontId="4" fillId="2" borderId="1" xfId="0" quotePrefix="1" applyNumberFormat="1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wrapText="1"/>
    </xf>
    <xf numFmtId="170" fontId="10" fillId="2" borderId="1" xfId="0" applyNumberFormat="1" applyFont="1" applyFill="1" applyBorder="1" applyAlignment="1">
      <alignment horizontal="center" wrapText="1"/>
    </xf>
    <xf numFmtId="168" fontId="47" fillId="0" borderId="0" xfId="0" applyNumberFormat="1" applyFont="1" applyAlignment="1">
      <alignment horizontal="center"/>
    </xf>
    <xf numFmtId="0" fontId="48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 wrapText="1"/>
    </xf>
    <xf numFmtId="168" fontId="8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0" fontId="10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2" fontId="4" fillId="0" borderId="1" xfId="0" quotePrefix="1" applyNumberFormat="1" applyFont="1" applyBorder="1" applyAlignment="1">
      <alignment vertical="center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2" fontId="9" fillId="0" borderId="1" xfId="2" applyNumberFormat="1" applyFont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10" fillId="2" borderId="1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4" fontId="15" fillId="0" borderId="1" xfId="0" applyNumberFormat="1" applyFont="1" applyBorder="1" applyAlignment="1">
      <alignment horizontal="center" wrapText="1"/>
    </xf>
    <xf numFmtId="170" fontId="8" fillId="2" borderId="1" xfId="0" applyNumberFormat="1" applyFont="1" applyFill="1" applyBorder="1" applyAlignment="1">
      <alignment wrapText="1"/>
    </xf>
    <xf numFmtId="165" fontId="4" fillId="0" borderId="1" xfId="0" applyNumberFormat="1" applyFont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170" fontId="15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2" fontId="10" fillId="2" borderId="1" xfId="0" applyNumberFormat="1" applyFont="1" applyFill="1" applyBorder="1" applyAlignment="1">
      <alignment wrapText="1"/>
    </xf>
    <xf numFmtId="2" fontId="10" fillId="0" borderId="1" xfId="2" applyNumberFormat="1" applyFont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71" fontId="10" fillId="0" borderId="1" xfId="0" applyNumberFormat="1" applyFont="1" applyBorder="1" applyAlignment="1">
      <alignment horizontal="center" wrapText="1"/>
    </xf>
    <xf numFmtId="2" fontId="8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 shrinkToFit="1"/>
    </xf>
    <xf numFmtId="16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4" fontId="4" fillId="2" borderId="1" xfId="0" quotePrefix="1" applyNumberFormat="1" applyFont="1" applyFill="1" applyBorder="1" applyAlignment="1">
      <alignment horizontal="center" vertical="center"/>
    </xf>
    <xf numFmtId="164" fontId="4" fillId="2" borderId="1" xfId="2" quotePrefix="1" applyFont="1" applyFill="1" applyBorder="1" applyAlignment="1">
      <alignment horizontal="center" vertical="center"/>
    </xf>
    <xf numFmtId="164" fontId="3" fillId="2" borderId="1" xfId="2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wrapText="1"/>
    </xf>
    <xf numFmtId="0" fontId="46" fillId="0" borderId="1" xfId="0" applyFont="1" applyBorder="1"/>
    <xf numFmtId="0" fontId="32" fillId="2" borderId="1" xfId="0" applyFont="1" applyFill="1" applyBorder="1" applyAlignment="1">
      <alignment horizontal="center" vertical="center" wrapText="1"/>
    </xf>
    <xf numFmtId="171" fontId="37" fillId="0" borderId="1" xfId="0" applyNumberFormat="1" applyFont="1" applyBorder="1"/>
    <xf numFmtId="171" fontId="46" fillId="0" borderId="1" xfId="0" applyNumberFormat="1" applyFont="1" applyBorder="1"/>
    <xf numFmtId="0" fontId="36" fillId="5" borderId="1" xfId="0" applyFont="1" applyFill="1" applyBorder="1" applyAlignment="1">
      <alignment horizontal="left" wrapText="1"/>
    </xf>
    <xf numFmtId="171" fontId="36" fillId="3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Border="1"/>
    <xf numFmtId="4" fontId="37" fillId="0" borderId="1" xfId="0" applyNumberFormat="1" applyFont="1" applyBorder="1"/>
    <xf numFmtId="1" fontId="37" fillId="0" borderId="1" xfId="0" applyNumberFormat="1" applyFont="1" applyBorder="1"/>
    <xf numFmtId="166" fontId="46" fillId="0" borderId="1" xfId="0" applyNumberFormat="1" applyFont="1" applyBorder="1"/>
    <xf numFmtId="171" fontId="46" fillId="2" borderId="1" xfId="0" applyNumberFormat="1" applyFont="1" applyFill="1" applyBorder="1"/>
    <xf numFmtId="0" fontId="46" fillId="2" borderId="1" xfId="0" applyFont="1" applyFill="1" applyBorder="1"/>
    <xf numFmtId="0" fontId="0" fillId="0" borderId="18" xfId="0" applyBorder="1"/>
    <xf numFmtId="171" fontId="38" fillId="3" borderId="1" xfId="0" applyNumberFormat="1" applyFont="1" applyFill="1" applyBorder="1" applyAlignment="1">
      <alignment horizontal="center" vertical="center" wrapText="1"/>
    </xf>
    <xf numFmtId="2" fontId="4" fillId="2" borderId="1" xfId="0" quotePrefix="1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172" fontId="8" fillId="2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37" fillId="0" borderId="0" xfId="0" applyFont="1"/>
    <xf numFmtId="0" fontId="35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2" borderId="0" xfId="0" applyFont="1" applyFill="1" applyAlignment="1">
      <alignment horizontal="center" wrapText="1"/>
    </xf>
    <xf numFmtId="4" fontId="8" fillId="2" borderId="8" xfId="0" applyNumberFormat="1" applyFont="1" applyFill="1" applyBorder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0" fontId="8" fillId="0" borderId="8" xfId="0" applyFont="1" applyBorder="1" applyAlignment="1">
      <alignment wrapText="1"/>
    </xf>
    <xf numFmtId="173" fontId="4" fillId="0" borderId="1" xfId="0" applyNumberFormat="1" applyFont="1" applyBorder="1" applyAlignment="1">
      <alignment horizontal="center" vertical="center" wrapText="1"/>
    </xf>
    <xf numFmtId="173" fontId="4" fillId="2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166" fontId="1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17" fillId="0" borderId="8" xfId="0" applyFont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2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1" fillId="3" borderId="0" xfId="1" applyFont="1" applyFill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6" fillId="3" borderId="14" xfId="1" applyFont="1" applyFill="1" applyBorder="1" applyAlignment="1">
      <alignment horizontal="center" vertical="center" wrapText="1"/>
    </xf>
    <xf numFmtId="0" fontId="36" fillId="3" borderId="0" xfId="1" applyFont="1" applyFill="1" applyAlignment="1">
      <alignment horizontal="center" vertical="center" wrapText="1"/>
    </xf>
    <xf numFmtId="0" fontId="36" fillId="3" borderId="15" xfId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/>
    </xf>
  </cellXfs>
  <cellStyles count="3">
    <cellStyle name="Звичайний 2 2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0"/>
  <sheetViews>
    <sheetView tabSelected="1" zoomScaleNormal="100" workbookViewId="0">
      <selection activeCell="L73" sqref="L73"/>
    </sheetView>
  </sheetViews>
  <sheetFormatPr defaultRowHeight="15" x14ac:dyDescent="0.25"/>
  <cols>
    <col min="1" max="1" width="37.140625" customWidth="1"/>
    <col min="2" max="2" width="8" customWidth="1"/>
    <col min="3" max="3" width="15.5703125" customWidth="1"/>
    <col min="4" max="4" width="12.7109375" customWidth="1"/>
    <col min="5" max="5" width="14" customWidth="1"/>
    <col min="6" max="6" width="12" customWidth="1"/>
    <col min="7" max="7" width="12.28515625" customWidth="1"/>
    <col min="8" max="8" width="13" customWidth="1"/>
    <col min="9" max="9" width="12.140625" customWidth="1"/>
    <col min="10" max="10" width="25.5703125" customWidth="1"/>
  </cols>
  <sheetData>
    <row r="1" spans="1:10" x14ac:dyDescent="0.25">
      <c r="A1" s="68" t="s">
        <v>497</v>
      </c>
      <c r="J1" s="63" t="s">
        <v>425</v>
      </c>
    </row>
    <row r="2" spans="1:10" x14ac:dyDescent="0.25">
      <c r="A2" s="1" t="s">
        <v>498</v>
      </c>
      <c r="B2" s="2"/>
      <c r="C2" s="2"/>
      <c r="D2" s="2"/>
      <c r="E2" s="1"/>
      <c r="F2" s="1"/>
      <c r="G2" s="1"/>
      <c r="H2" s="313" t="s">
        <v>0</v>
      </c>
      <c r="I2" s="313"/>
      <c r="J2" s="3"/>
    </row>
    <row r="3" spans="1:10" x14ac:dyDescent="0.25">
      <c r="A3" s="1" t="s">
        <v>499</v>
      </c>
      <c r="B3" s="2"/>
      <c r="C3" s="2"/>
      <c r="D3" s="2"/>
      <c r="E3" s="1"/>
      <c r="F3" s="1"/>
      <c r="G3" s="1"/>
      <c r="H3" s="4" t="s">
        <v>432</v>
      </c>
      <c r="I3" s="5"/>
      <c r="J3" s="5"/>
    </row>
    <row r="4" spans="1:10" x14ac:dyDescent="0.25">
      <c r="A4" s="1" t="s">
        <v>500</v>
      </c>
      <c r="B4" s="2"/>
      <c r="C4" s="2"/>
      <c r="D4" s="2"/>
      <c r="E4" s="1"/>
      <c r="F4" s="1"/>
      <c r="G4" s="1"/>
      <c r="H4" s="314" t="s">
        <v>431</v>
      </c>
      <c r="I4" s="314"/>
      <c r="J4" s="314"/>
    </row>
    <row r="5" spans="1:10" x14ac:dyDescent="0.25">
      <c r="B5" s="2"/>
      <c r="C5" s="2"/>
      <c r="D5" s="2"/>
      <c r="E5" s="1"/>
      <c r="F5" s="1"/>
      <c r="G5" s="1"/>
      <c r="H5" s="314" t="s">
        <v>433</v>
      </c>
      <c r="I5" s="314"/>
      <c r="J5" s="314"/>
    </row>
    <row r="6" spans="1:10" x14ac:dyDescent="0.25">
      <c r="A6" s="1" t="s">
        <v>1</v>
      </c>
      <c r="B6" s="2"/>
      <c r="C6" s="2"/>
      <c r="D6" s="2"/>
      <c r="E6" s="1"/>
      <c r="F6" s="1"/>
      <c r="G6" s="1"/>
      <c r="H6" s="6" t="s">
        <v>1</v>
      </c>
      <c r="I6" s="6"/>
      <c r="J6" s="6"/>
    </row>
    <row r="7" spans="1:10" x14ac:dyDescent="0.25">
      <c r="A7" s="1" t="s">
        <v>497</v>
      </c>
      <c r="B7" s="2"/>
      <c r="C7" s="2"/>
      <c r="D7" s="2"/>
      <c r="E7" s="1"/>
      <c r="F7" s="1"/>
      <c r="G7" s="1"/>
      <c r="H7" s="314"/>
      <c r="I7" s="314"/>
      <c r="J7" s="314"/>
    </row>
    <row r="8" spans="1:10" x14ac:dyDescent="0.25">
      <c r="A8" s="1" t="s">
        <v>501</v>
      </c>
      <c r="B8" s="2"/>
      <c r="C8" s="2"/>
      <c r="D8" s="2"/>
      <c r="E8" s="1"/>
      <c r="F8" s="1"/>
      <c r="G8" s="1"/>
      <c r="I8" s="6"/>
      <c r="J8" s="6"/>
    </row>
    <row r="9" spans="1:10" x14ac:dyDescent="0.25">
      <c r="A9" s="1" t="s">
        <v>502</v>
      </c>
      <c r="B9" s="2"/>
      <c r="C9" s="2"/>
      <c r="D9" s="2"/>
      <c r="E9" s="1"/>
      <c r="F9" s="1"/>
      <c r="G9" s="1"/>
      <c r="H9" s="7" t="s">
        <v>2</v>
      </c>
      <c r="I9" s="312"/>
      <c r="J9" s="312"/>
    </row>
    <row r="10" spans="1:10" x14ac:dyDescent="0.25">
      <c r="A10" s="1" t="s">
        <v>500</v>
      </c>
      <c r="B10" s="2"/>
      <c r="C10" s="2"/>
      <c r="D10" s="2"/>
      <c r="E10" s="1"/>
      <c r="F10" s="1"/>
      <c r="G10" s="1"/>
      <c r="H10" s="7" t="s">
        <v>353</v>
      </c>
      <c r="I10" s="312"/>
      <c r="J10" s="312"/>
    </row>
    <row r="11" spans="1:10" x14ac:dyDescent="0.25">
      <c r="A11" s="1"/>
      <c r="B11" s="2"/>
      <c r="C11" s="2"/>
      <c r="D11" s="2"/>
      <c r="E11" s="1"/>
      <c r="F11" s="1"/>
      <c r="G11" s="1"/>
      <c r="H11" s="7" t="s">
        <v>3</v>
      </c>
      <c r="I11" s="312"/>
      <c r="J11" s="312"/>
    </row>
    <row r="12" spans="1:10" x14ac:dyDescent="0.25">
      <c r="A12" s="1" t="s">
        <v>503</v>
      </c>
      <c r="B12" s="2"/>
      <c r="C12" s="2"/>
      <c r="D12" s="2"/>
      <c r="E12" s="1"/>
      <c r="F12" s="1"/>
      <c r="G12" s="1"/>
      <c r="H12" s="312" t="s">
        <v>4</v>
      </c>
      <c r="I12" s="312"/>
      <c r="J12" s="312"/>
    </row>
    <row r="13" spans="1:10" x14ac:dyDescent="0.25">
      <c r="A13" s="1"/>
      <c r="B13" s="311"/>
      <c r="C13" s="311"/>
      <c r="D13" s="311"/>
      <c r="E13" s="311"/>
      <c r="F13" s="1"/>
      <c r="G13" s="1"/>
      <c r="H13" s="312" t="s">
        <v>5</v>
      </c>
      <c r="I13" s="312"/>
      <c r="J13" s="312"/>
    </row>
    <row r="14" spans="1:10" x14ac:dyDescent="0.25">
      <c r="A14" s="8" t="s">
        <v>6</v>
      </c>
      <c r="B14" s="315" t="s">
        <v>477</v>
      </c>
      <c r="C14" s="315"/>
      <c r="D14" s="315"/>
      <c r="E14" s="315"/>
      <c r="F14" s="315"/>
      <c r="G14" s="9"/>
      <c r="H14" s="10" t="s">
        <v>7</v>
      </c>
      <c r="I14" s="316" t="s">
        <v>482</v>
      </c>
      <c r="J14" s="316"/>
    </row>
    <row r="15" spans="1:10" x14ac:dyDescent="0.25">
      <c r="A15" s="8" t="s">
        <v>8</v>
      </c>
      <c r="B15" s="315" t="s">
        <v>476</v>
      </c>
      <c r="C15" s="315"/>
      <c r="D15" s="315"/>
      <c r="E15" s="315"/>
      <c r="F15" s="11"/>
      <c r="G15" s="12"/>
      <c r="H15" s="7" t="s">
        <v>9</v>
      </c>
      <c r="I15" s="312">
        <v>150</v>
      </c>
      <c r="J15" s="312"/>
    </row>
    <row r="16" spans="1:10" x14ac:dyDescent="0.25">
      <c r="A16" s="8" t="s">
        <v>10</v>
      </c>
      <c r="B16" s="315" t="s">
        <v>475</v>
      </c>
      <c r="C16" s="315"/>
      <c r="D16" s="315"/>
      <c r="E16" s="315"/>
      <c r="F16" s="11"/>
      <c r="G16" s="12"/>
      <c r="H16" s="7" t="s">
        <v>11</v>
      </c>
      <c r="I16" s="317" t="s">
        <v>483</v>
      </c>
      <c r="J16" s="317"/>
    </row>
    <row r="17" spans="1:10" x14ac:dyDescent="0.25">
      <c r="A17" s="8" t="s">
        <v>354</v>
      </c>
      <c r="B17" s="315"/>
      <c r="C17" s="315"/>
      <c r="D17" s="315"/>
      <c r="E17" s="315"/>
      <c r="F17" s="13"/>
      <c r="G17" s="9"/>
      <c r="H17" s="7" t="s">
        <v>12</v>
      </c>
      <c r="I17" s="312"/>
      <c r="J17" s="312"/>
    </row>
    <row r="18" spans="1:10" x14ac:dyDescent="0.25">
      <c r="A18" s="8" t="s">
        <v>13</v>
      </c>
      <c r="B18" s="315"/>
      <c r="C18" s="315"/>
      <c r="D18" s="315"/>
      <c r="E18" s="315"/>
      <c r="F18" s="13"/>
      <c r="G18" s="9"/>
      <c r="H18" s="7" t="s">
        <v>14</v>
      </c>
      <c r="I18" s="312"/>
      <c r="J18" s="312"/>
    </row>
    <row r="19" spans="1:10" ht="23.25" customHeight="1" x14ac:dyDescent="0.25">
      <c r="A19" s="8" t="s">
        <v>15</v>
      </c>
      <c r="B19" s="315" t="s">
        <v>478</v>
      </c>
      <c r="C19" s="315"/>
      <c r="D19" s="315"/>
      <c r="E19" s="315"/>
      <c r="F19" s="13"/>
      <c r="G19" s="14"/>
      <c r="H19" s="15" t="s">
        <v>16</v>
      </c>
      <c r="I19" s="312" t="s">
        <v>471</v>
      </c>
      <c r="J19" s="312"/>
    </row>
    <row r="20" spans="1:10" x14ac:dyDescent="0.25">
      <c r="A20" s="8" t="s">
        <v>17</v>
      </c>
      <c r="B20" s="315"/>
      <c r="C20" s="315"/>
      <c r="D20" s="315"/>
      <c r="E20" s="315"/>
      <c r="F20" s="315" t="s">
        <v>18</v>
      </c>
      <c r="G20" s="318"/>
      <c r="H20" s="319"/>
      <c r="I20" s="320"/>
      <c r="J20" s="320"/>
    </row>
    <row r="21" spans="1:10" x14ac:dyDescent="0.25">
      <c r="A21" s="8" t="s">
        <v>19</v>
      </c>
      <c r="B21" s="315" t="s">
        <v>479</v>
      </c>
      <c r="C21" s="315"/>
      <c r="D21" s="315"/>
      <c r="E21" s="315"/>
      <c r="F21" s="315" t="s">
        <v>20</v>
      </c>
      <c r="G21" s="318"/>
      <c r="H21" s="321"/>
      <c r="I21" s="320"/>
      <c r="J21" s="320"/>
    </row>
    <row r="22" spans="1:10" ht="16.5" customHeight="1" x14ac:dyDescent="0.25">
      <c r="A22" s="8" t="s">
        <v>439</v>
      </c>
      <c r="B22" s="322">
        <v>191</v>
      </c>
      <c r="C22" s="322"/>
      <c r="D22" s="322"/>
      <c r="E22" s="322"/>
      <c r="F22" s="13"/>
      <c r="G22" s="13"/>
      <c r="H22" s="16"/>
      <c r="I22" s="320"/>
      <c r="J22" s="320"/>
    </row>
    <row r="23" spans="1:10" x14ac:dyDescent="0.25">
      <c r="A23" s="8" t="s">
        <v>21</v>
      </c>
      <c r="B23" s="323" t="s">
        <v>480</v>
      </c>
      <c r="C23" s="323"/>
      <c r="D23" s="323"/>
      <c r="E23" s="323"/>
      <c r="F23" s="323"/>
      <c r="G23" s="11"/>
      <c r="H23" s="7"/>
      <c r="I23" s="312"/>
      <c r="J23" s="312"/>
    </row>
    <row r="24" spans="1:10" x14ac:dyDescent="0.25">
      <c r="A24" s="8" t="s">
        <v>22</v>
      </c>
      <c r="B24" s="323">
        <v>674631365</v>
      </c>
      <c r="C24" s="323"/>
      <c r="D24" s="323"/>
      <c r="E24" s="323"/>
      <c r="F24" s="13"/>
      <c r="G24" s="13"/>
      <c r="H24" s="16"/>
      <c r="I24" s="320"/>
      <c r="J24" s="320"/>
    </row>
    <row r="25" spans="1:10" x14ac:dyDescent="0.25">
      <c r="A25" s="8" t="s">
        <v>23</v>
      </c>
      <c r="B25" s="323" t="s">
        <v>481</v>
      </c>
      <c r="C25" s="323"/>
      <c r="D25" s="323"/>
      <c r="E25" s="323"/>
      <c r="F25" s="11"/>
      <c r="G25" s="11"/>
      <c r="H25" s="7"/>
      <c r="I25" s="312"/>
      <c r="J25" s="312"/>
    </row>
    <row r="26" spans="1:10" x14ac:dyDescent="0.25">
      <c r="A26" s="1"/>
      <c r="B26" s="2"/>
      <c r="C26" s="2"/>
      <c r="D26" s="2"/>
      <c r="E26" s="1"/>
      <c r="F26" s="1"/>
      <c r="G26" s="1"/>
      <c r="H26" s="1"/>
      <c r="I26" s="1"/>
      <c r="J26" s="3"/>
    </row>
    <row r="27" spans="1:10" x14ac:dyDescent="0.25">
      <c r="A27" s="327" t="s">
        <v>550</v>
      </c>
      <c r="B27" s="327"/>
      <c r="C27" s="327"/>
      <c r="D27" s="327"/>
      <c r="E27" s="327"/>
      <c r="F27" s="327"/>
      <c r="G27" s="327"/>
      <c r="H27" s="327"/>
      <c r="I27" s="327"/>
      <c r="J27" s="3"/>
    </row>
    <row r="28" spans="1:10" ht="15.75" customHeight="1" x14ac:dyDescent="0.25">
      <c r="A28" s="17"/>
      <c r="B28" s="18"/>
      <c r="C28" s="18"/>
      <c r="D28" s="17"/>
      <c r="E28" s="17"/>
      <c r="F28" s="17"/>
      <c r="G28" s="17"/>
      <c r="H28" s="17"/>
      <c r="I28" s="310" t="s">
        <v>434</v>
      </c>
      <c r="J28" s="310"/>
    </row>
    <row r="29" spans="1:10" x14ac:dyDescent="0.25">
      <c r="A29" s="312" t="s">
        <v>24</v>
      </c>
      <c r="B29" s="320" t="s">
        <v>25</v>
      </c>
      <c r="C29" s="339" t="s">
        <v>535</v>
      </c>
      <c r="D29" s="320" t="s">
        <v>534</v>
      </c>
      <c r="E29" s="320" t="s">
        <v>548</v>
      </c>
      <c r="F29" s="320" t="s">
        <v>27</v>
      </c>
      <c r="G29" s="320"/>
      <c r="H29" s="320"/>
      <c r="I29" s="320"/>
      <c r="J29" s="328" t="s">
        <v>28</v>
      </c>
    </row>
    <row r="30" spans="1:10" ht="42" customHeight="1" x14ac:dyDescent="0.25">
      <c r="A30" s="312"/>
      <c r="B30" s="320"/>
      <c r="C30" s="340"/>
      <c r="D30" s="320"/>
      <c r="E30" s="320"/>
      <c r="F30" s="61" t="s">
        <v>29</v>
      </c>
      <c r="G30" s="61" t="s">
        <v>30</v>
      </c>
      <c r="H30" s="61" t="s">
        <v>31</v>
      </c>
      <c r="I30" s="61" t="s">
        <v>32</v>
      </c>
      <c r="J30" s="328"/>
    </row>
    <row r="31" spans="1:10" x14ac:dyDescent="0.25">
      <c r="A31" s="19">
        <v>1</v>
      </c>
      <c r="B31" s="20">
        <v>2</v>
      </c>
      <c r="C31" s="20">
        <v>3</v>
      </c>
      <c r="D31" s="20">
        <v>4</v>
      </c>
      <c r="E31" s="20">
        <v>5</v>
      </c>
      <c r="F31" s="20">
        <v>6</v>
      </c>
      <c r="G31" s="20">
        <v>7</v>
      </c>
      <c r="H31" s="20">
        <v>8</v>
      </c>
      <c r="I31" s="20">
        <v>9</v>
      </c>
      <c r="J31" s="21">
        <v>10</v>
      </c>
    </row>
    <row r="32" spans="1:10" x14ac:dyDescent="0.25">
      <c r="A32" s="329" t="s">
        <v>33</v>
      </c>
      <c r="B32" s="329"/>
      <c r="C32" s="329"/>
      <c r="D32" s="329"/>
      <c r="E32" s="329"/>
      <c r="F32" s="329"/>
      <c r="G32" s="329"/>
      <c r="H32" s="329"/>
      <c r="I32" s="329"/>
      <c r="J32" s="329"/>
    </row>
    <row r="33" spans="1:10" x14ac:dyDescent="0.25">
      <c r="A33" s="329" t="s">
        <v>34</v>
      </c>
      <c r="B33" s="329"/>
      <c r="C33" s="329"/>
      <c r="D33" s="329"/>
      <c r="E33" s="329"/>
      <c r="F33" s="329"/>
      <c r="G33" s="329"/>
      <c r="H33" s="329"/>
      <c r="I33" s="329"/>
      <c r="J33" s="329"/>
    </row>
    <row r="34" spans="1:10" ht="25.5" x14ac:dyDescent="0.25">
      <c r="A34" s="23" t="s">
        <v>440</v>
      </c>
      <c r="B34" s="22">
        <v>1000</v>
      </c>
      <c r="C34" s="215">
        <f>C38+C39+C40</f>
        <v>75517.2</v>
      </c>
      <c r="D34" s="236">
        <f>D38+D39+D40</f>
        <v>84797.64</v>
      </c>
      <c r="E34" s="240">
        <f>E38+E39+E40</f>
        <v>113022.288</v>
      </c>
      <c r="F34" s="240">
        <f>E34*23%</f>
        <v>25995.126240000001</v>
      </c>
      <c r="G34" s="240">
        <f>E34*23%</f>
        <v>25995.126240000001</v>
      </c>
      <c r="H34" s="240">
        <f>E34*29%</f>
        <v>32776.463519999998</v>
      </c>
      <c r="I34" s="240">
        <f>E34*25%</f>
        <v>28255.572</v>
      </c>
      <c r="J34" s="21" t="s">
        <v>393</v>
      </c>
    </row>
    <row r="35" spans="1:10" ht="25.5" x14ac:dyDescent="0.25">
      <c r="A35" s="42" t="s">
        <v>253</v>
      </c>
      <c r="B35" s="118">
        <v>1001</v>
      </c>
      <c r="C35" s="118">
        <v>0</v>
      </c>
      <c r="D35" s="118">
        <v>0</v>
      </c>
      <c r="E35" s="118">
        <v>0</v>
      </c>
      <c r="F35" s="240">
        <f t="shared" ref="F35:F71" si="0">E35*23%</f>
        <v>0</v>
      </c>
      <c r="G35" s="240">
        <f t="shared" ref="G35:G71" si="1">E35*23%</f>
        <v>0</v>
      </c>
      <c r="H35" s="240">
        <f t="shared" ref="H35:H71" si="2">E35*29%</f>
        <v>0</v>
      </c>
      <c r="I35" s="240">
        <f t="shared" ref="I35:I70" si="3">E35*25%</f>
        <v>0</v>
      </c>
      <c r="J35" s="27" t="s">
        <v>259</v>
      </c>
    </row>
    <row r="36" spans="1:10" x14ac:dyDescent="0.25">
      <c r="A36" s="42" t="s">
        <v>257</v>
      </c>
      <c r="B36" s="118">
        <v>1002</v>
      </c>
      <c r="C36" s="118">
        <v>0</v>
      </c>
      <c r="D36" s="118">
        <v>0</v>
      </c>
      <c r="E36" s="118">
        <v>0</v>
      </c>
      <c r="F36" s="240">
        <f t="shared" si="0"/>
        <v>0</v>
      </c>
      <c r="G36" s="240">
        <f t="shared" si="1"/>
        <v>0</v>
      </c>
      <c r="H36" s="240">
        <f t="shared" si="2"/>
        <v>0</v>
      </c>
      <c r="I36" s="240">
        <f t="shared" si="3"/>
        <v>0</v>
      </c>
      <c r="J36" s="27"/>
    </row>
    <row r="37" spans="1:10" x14ac:dyDescent="0.25">
      <c r="A37" s="42" t="s">
        <v>254</v>
      </c>
      <c r="B37" s="118">
        <v>1003</v>
      </c>
      <c r="C37" s="118">
        <v>0</v>
      </c>
      <c r="D37" s="118">
        <v>0</v>
      </c>
      <c r="E37" s="118">
        <v>0</v>
      </c>
      <c r="F37" s="240">
        <f t="shared" si="0"/>
        <v>0</v>
      </c>
      <c r="G37" s="240">
        <f t="shared" si="1"/>
        <v>0</v>
      </c>
      <c r="H37" s="240">
        <f t="shared" si="2"/>
        <v>0</v>
      </c>
      <c r="I37" s="240">
        <f t="shared" si="3"/>
        <v>0</v>
      </c>
      <c r="J37" s="27"/>
    </row>
    <row r="38" spans="1:10" x14ac:dyDescent="0.25">
      <c r="A38" s="42" t="s">
        <v>255</v>
      </c>
      <c r="B38" s="118">
        <v>1004</v>
      </c>
      <c r="C38" s="214">
        <f t="shared" ref="C38:E39" si="4">C46*1.2</f>
        <v>40581.119999999995</v>
      </c>
      <c r="D38" s="247">
        <f t="shared" si="4"/>
        <v>44403</v>
      </c>
      <c r="E38" s="248">
        <f t="shared" si="4"/>
        <v>58734.287999999993</v>
      </c>
      <c r="F38" s="240">
        <f t="shared" si="0"/>
        <v>13508.88624</v>
      </c>
      <c r="G38" s="240">
        <f t="shared" si="1"/>
        <v>13508.88624</v>
      </c>
      <c r="H38" s="240">
        <f t="shared" si="2"/>
        <v>17032.943519999997</v>
      </c>
      <c r="I38" s="240">
        <f t="shared" si="3"/>
        <v>14683.571999999998</v>
      </c>
      <c r="J38" s="27"/>
    </row>
    <row r="39" spans="1:10" x14ac:dyDescent="0.25">
      <c r="A39" s="42" t="s">
        <v>256</v>
      </c>
      <c r="B39" s="118">
        <v>1005</v>
      </c>
      <c r="C39" s="214">
        <f t="shared" si="4"/>
        <v>30672.48</v>
      </c>
      <c r="D39" s="247">
        <f t="shared" si="4"/>
        <v>36031.440000000002</v>
      </c>
      <c r="E39" s="248">
        <f t="shared" si="4"/>
        <v>54288</v>
      </c>
      <c r="F39" s="240">
        <f t="shared" si="0"/>
        <v>12486.24</v>
      </c>
      <c r="G39" s="240">
        <f t="shared" si="1"/>
        <v>12486.24</v>
      </c>
      <c r="H39" s="240">
        <f t="shared" si="2"/>
        <v>15743.519999999999</v>
      </c>
      <c r="I39" s="240">
        <f t="shared" si="3"/>
        <v>13572</v>
      </c>
      <c r="J39" s="27"/>
    </row>
    <row r="40" spans="1:10" ht="25.5" x14ac:dyDescent="0.25">
      <c r="A40" s="42" t="s">
        <v>258</v>
      </c>
      <c r="B40" s="118">
        <v>1006</v>
      </c>
      <c r="C40" s="270">
        <f>C48*1.2</f>
        <v>4263.5999999999995</v>
      </c>
      <c r="D40" s="270">
        <f t="shared" ref="D40:E40" si="5">D48*1.2</f>
        <v>4363.2</v>
      </c>
      <c r="E40" s="270">
        <f t="shared" si="5"/>
        <v>0</v>
      </c>
      <c r="F40" s="240">
        <f t="shared" si="0"/>
        <v>0</v>
      </c>
      <c r="G40" s="240">
        <f t="shared" si="1"/>
        <v>0</v>
      </c>
      <c r="H40" s="240">
        <f t="shared" si="2"/>
        <v>0</v>
      </c>
      <c r="I40" s="240">
        <f t="shared" si="3"/>
        <v>0</v>
      </c>
      <c r="J40" s="27"/>
    </row>
    <row r="41" spans="1:10" x14ac:dyDescent="0.25">
      <c r="A41" s="136" t="s">
        <v>355</v>
      </c>
      <c r="B41" s="140">
        <v>1010</v>
      </c>
      <c r="C41" s="216">
        <f>C42*20%</f>
        <v>12586.2</v>
      </c>
      <c r="D41" s="216">
        <f t="shared" ref="D41:I41" si="6">D42*20%</f>
        <v>14132.94</v>
      </c>
      <c r="E41" s="216">
        <f t="shared" si="6"/>
        <v>18837.047999999999</v>
      </c>
      <c r="F41" s="216">
        <f t="shared" si="6"/>
        <v>4332.5210399999996</v>
      </c>
      <c r="G41" s="216">
        <f t="shared" si="6"/>
        <v>4332.5210399999996</v>
      </c>
      <c r="H41" s="216">
        <f t="shared" si="6"/>
        <v>5462.7439199999999</v>
      </c>
      <c r="I41" s="216">
        <f t="shared" si="6"/>
        <v>4709.2619999999997</v>
      </c>
      <c r="J41" s="27"/>
    </row>
    <row r="42" spans="1:10" ht="38.25" x14ac:dyDescent="0.25">
      <c r="A42" s="23" t="s">
        <v>356</v>
      </c>
      <c r="B42" s="119">
        <v>1020</v>
      </c>
      <c r="C42" s="217">
        <f>C46+C47+C48</f>
        <v>62931</v>
      </c>
      <c r="D42" s="25">
        <f>D46+D47+D48</f>
        <v>70664.7</v>
      </c>
      <c r="E42" s="26">
        <f>E46+E47+E48</f>
        <v>94185.239999999991</v>
      </c>
      <c r="F42" s="240">
        <f t="shared" si="0"/>
        <v>21662.605199999998</v>
      </c>
      <c r="G42" s="240">
        <f t="shared" si="1"/>
        <v>21662.605199999998</v>
      </c>
      <c r="H42" s="240">
        <f t="shared" si="2"/>
        <v>27313.719599999997</v>
      </c>
      <c r="I42" s="240">
        <f t="shared" si="3"/>
        <v>23546.309999999998</v>
      </c>
      <c r="J42" s="27" t="s">
        <v>394</v>
      </c>
    </row>
    <row r="43" spans="1:10" x14ac:dyDescent="0.25">
      <c r="A43" s="42" t="s">
        <v>253</v>
      </c>
      <c r="B43" s="118">
        <v>1021</v>
      </c>
      <c r="C43" s="118">
        <v>0</v>
      </c>
      <c r="D43" s="118">
        <v>0</v>
      </c>
      <c r="E43" s="118">
        <v>0</v>
      </c>
      <c r="F43" s="240">
        <f t="shared" si="0"/>
        <v>0</v>
      </c>
      <c r="G43" s="240">
        <f t="shared" si="1"/>
        <v>0</v>
      </c>
      <c r="H43" s="240">
        <f t="shared" si="2"/>
        <v>0</v>
      </c>
      <c r="I43" s="240">
        <f t="shared" si="3"/>
        <v>0</v>
      </c>
      <c r="J43" s="27"/>
    </row>
    <row r="44" spans="1:10" x14ac:dyDescent="0.25">
      <c r="A44" s="42" t="s">
        <v>257</v>
      </c>
      <c r="B44" s="118">
        <v>1022</v>
      </c>
      <c r="C44" s="118">
        <v>0</v>
      </c>
      <c r="D44" s="118">
        <v>0</v>
      </c>
      <c r="E44" s="118">
        <v>0</v>
      </c>
      <c r="F44" s="240">
        <f t="shared" si="0"/>
        <v>0</v>
      </c>
      <c r="G44" s="240">
        <f t="shared" si="1"/>
        <v>0</v>
      </c>
      <c r="H44" s="240">
        <f t="shared" si="2"/>
        <v>0</v>
      </c>
      <c r="I44" s="240">
        <f t="shared" si="3"/>
        <v>0</v>
      </c>
      <c r="J44" s="27"/>
    </row>
    <row r="45" spans="1:10" x14ac:dyDescent="0.25">
      <c r="A45" s="42" t="s">
        <v>254</v>
      </c>
      <c r="B45" s="118">
        <v>1023</v>
      </c>
      <c r="C45" s="118">
        <v>0</v>
      </c>
      <c r="D45" s="118">
        <v>0</v>
      </c>
      <c r="E45" s="118">
        <v>0</v>
      </c>
      <c r="F45" s="240">
        <f t="shared" si="0"/>
        <v>0</v>
      </c>
      <c r="G45" s="240">
        <f t="shared" si="1"/>
        <v>0</v>
      </c>
      <c r="H45" s="240">
        <f t="shared" si="2"/>
        <v>0</v>
      </c>
      <c r="I45" s="240">
        <f t="shared" si="3"/>
        <v>0</v>
      </c>
      <c r="J45" s="27"/>
    </row>
    <row r="46" spans="1:10" x14ac:dyDescent="0.25">
      <c r="A46" s="42" t="s">
        <v>255</v>
      </c>
      <c r="B46" s="118">
        <v>1024</v>
      </c>
      <c r="C46" s="271">
        <v>33817.599999999999</v>
      </c>
      <c r="D46" s="25">
        <v>37002.5</v>
      </c>
      <c r="E46" s="25">
        <v>48945.24</v>
      </c>
      <c r="F46" s="240">
        <f>E46*23%</f>
        <v>11257.405199999999</v>
      </c>
      <c r="G46" s="240">
        <f>E46*23%</f>
        <v>11257.405199999999</v>
      </c>
      <c r="H46" s="240">
        <f>E46*29%</f>
        <v>14194.119599999998</v>
      </c>
      <c r="I46" s="240">
        <f>E46*25%</f>
        <v>12236.31</v>
      </c>
      <c r="J46" s="27"/>
    </row>
    <row r="47" spans="1:10" x14ac:dyDescent="0.25">
      <c r="A47" s="42" t="s">
        <v>256</v>
      </c>
      <c r="B47" s="118">
        <v>1025</v>
      </c>
      <c r="C47" s="271">
        <v>25560.400000000001</v>
      </c>
      <c r="D47" s="25">
        <v>30026.2</v>
      </c>
      <c r="E47" s="25">
        <v>45240</v>
      </c>
      <c r="F47" s="240">
        <f>E47*23%</f>
        <v>10405.200000000001</v>
      </c>
      <c r="G47" s="240">
        <f>E47*23%</f>
        <v>10405.200000000001</v>
      </c>
      <c r="H47" s="240">
        <f>E47*29%</f>
        <v>13119.599999999999</v>
      </c>
      <c r="I47" s="240">
        <f>E47*25%</f>
        <v>11310</v>
      </c>
      <c r="J47" s="27"/>
    </row>
    <row r="48" spans="1:10" ht="25.5" x14ac:dyDescent="0.25">
      <c r="A48" s="42" t="s">
        <v>258</v>
      </c>
      <c r="B48" s="118">
        <v>1026</v>
      </c>
      <c r="C48" s="289">
        <v>3553</v>
      </c>
      <c r="D48" s="25">
        <v>3636</v>
      </c>
      <c r="E48" s="25">
        <v>0</v>
      </c>
      <c r="F48" s="240">
        <f t="shared" si="0"/>
        <v>0</v>
      </c>
      <c r="G48" s="240">
        <f t="shared" si="1"/>
        <v>0</v>
      </c>
      <c r="H48" s="240">
        <f t="shared" si="2"/>
        <v>0</v>
      </c>
      <c r="I48" s="240">
        <f t="shared" si="3"/>
        <v>0</v>
      </c>
      <c r="J48" s="27"/>
    </row>
    <row r="49" spans="1:10" ht="25.5" x14ac:dyDescent="0.25">
      <c r="A49" s="117" t="s">
        <v>35</v>
      </c>
      <c r="B49" s="119">
        <v>1030</v>
      </c>
      <c r="C49" s="119">
        <v>0</v>
      </c>
      <c r="D49" s="25">
        <v>4119.1000000000004</v>
      </c>
      <c r="E49" s="26">
        <v>0</v>
      </c>
      <c r="F49" s="240">
        <f t="shared" si="0"/>
        <v>0</v>
      </c>
      <c r="G49" s="240">
        <f t="shared" si="1"/>
        <v>0</v>
      </c>
      <c r="H49" s="240">
        <f t="shared" si="2"/>
        <v>0</v>
      </c>
      <c r="I49" s="240">
        <f t="shared" si="3"/>
        <v>0</v>
      </c>
      <c r="J49" s="27"/>
    </row>
    <row r="50" spans="1:10" x14ac:dyDescent="0.25">
      <c r="A50" s="125" t="s">
        <v>474</v>
      </c>
      <c r="B50" s="75">
        <v>1031</v>
      </c>
      <c r="C50" s="120">
        <v>0</v>
      </c>
      <c r="D50" s="25">
        <v>4119.1000000000004</v>
      </c>
      <c r="E50" s="26">
        <v>0</v>
      </c>
      <c r="F50" s="240">
        <f t="shared" si="0"/>
        <v>0</v>
      </c>
      <c r="G50" s="240">
        <f t="shared" si="1"/>
        <v>0</v>
      </c>
      <c r="H50" s="240">
        <f t="shared" si="2"/>
        <v>0</v>
      </c>
      <c r="I50" s="240">
        <f t="shared" si="3"/>
        <v>0</v>
      </c>
      <c r="J50" s="27"/>
    </row>
    <row r="51" spans="1:10" ht="25.5" x14ac:dyDescent="0.25">
      <c r="A51" s="117" t="s">
        <v>37</v>
      </c>
      <c r="B51" s="119">
        <v>1040</v>
      </c>
      <c r="C51" s="217">
        <f>C52+C55+C57</f>
        <v>20791.509999999998</v>
      </c>
      <c r="D51" s="217">
        <f t="shared" ref="D51" si="7">D52+D55+D57</f>
        <v>24946.17</v>
      </c>
      <c r="E51" s="217">
        <f>E52+E53+E59+E57</f>
        <v>31425.14</v>
      </c>
      <c r="F51" s="240">
        <f t="shared" si="0"/>
        <v>7227.7822000000006</v>
      </c>
      <c r="G51" s="240">
        <f t="shared" si="1"/>
        <v>7227.7822000000006</v>
      </c>
      <c r="H51" s="240">
        <f t="shared" si="2"/>
        <v>9113.2905999999984</v>
      </c>
      <c r="I51" s="240">
        <f t="shared" si="3"/>
        <v>7856.2849999999999</v>
      </c>
      <c r="J51" s="21" t="s">
        <v>395</v>
      </c>
    </row>
    <row r="52" spans="1:10" ht="63.75" x14ac:dyDescent="0.25">
      <c r="A52" s="42" t="s">
        <v>486</v>
      </c>
      <c r="B52" s="118">
        <v>1041</v>
      </c>
      <c r="C52" s="119">
        <v>16672.419999999998</v>
      </c>
      <c r="D52" s="308">
        <v>23202.69</v>
      </c>
      <c r="E52" s="309">
        <v>31425.14</v>
      </c>
      <c r="F52" s="240">
        <f t="shared" si="0"/>
        <v>7227.7822000000006</v>
      </c>
      <c r="G52" s="240">
        <f t="shared" si="1"/>
        <v>7227.7822000000006</v>
      </c>
      <c r="H52" s="240">
        <f t="shared" si="2"/>
        <v>9113.2905999999984</v>
      </c>
      <c r="I52" s="240">
        <f t="shared" si="3"/>
        <v>7856.2849999999999</v>
      </c>
      <c r="J52" s="21"/>
    </row>
    <row r="53" spans="1:10" ht="64.5" x14ac:dyDescent="0.25">
      <c r="A53" s="259" t="s">
        <v>495</v>
      </c>
      <c r="B53" s="120" t="s">
        <v>383</v>
      </c>
      <c r="C53" s="120">
        <v>0</v>
      </c>
      <c r="D53" s="120">
        <v>0</v>
      </c>
      <c r="E53" s="26"/>
      <c r="F53" s="240">
        <f t="shared" si="0"/>
        <v>0</v>
      </c>
      <c r="G53" s="240">
        <f t="shared" si="1"/>
        <v>0</v>
      </c>
      <c r="H53" s="240">
        <f t="shared" si="2"/>
        <v>0</v>
      </c>
      <c r="I53" s="240">
        <f t="shared" si="3"/>
        <v>0</v>
      </c>
      <c r="J53" s="21"/>
    </row>
    <row r="54" spans="1:10" x14ac:dyDescent="0.25">
      <c r="A54" s="84" t="s">
        <v>249</v>
      </c>
      <c r="B54" s="120" t="s">
        <v>384</v>
      </c>
      <c r="C54" s="120">
        <v>0</v>
      </c>
      <c r="D54" s="120">
        <v>0</v>
      </c>
      <c r="E54" s="26">
        <v>0</v>
      </c>
      <c r="F54" s="240">
        <f t="shared" si="0"/>
        <v>0</v>
      </c>
      <c r="G54" s="240">
        <f t="shared" si="1"/>
        <v>0</v>
      </c>
      <c r="H54" s="240">
        <f t="shared" si="2"/>
        <v>0</v>
      </c>
      <c r="I54" s="240">
        <f t="shared" si="3"/>
        <v>0</v>
      </c>
      <c r="J54" s="21"/>
    </row>
    <row r="55" spans="1:10" ht="25.5" x14ac:dyDescent="0.25">
      <c r="A55" s="84" t="s">
        <v>250</v>
      </c>
      <c r="B55" s="120" t="s">
        <v>385</v>
      </c>
      <c r="C55" s="272"/>
      <c r="D55" s="25">
        <v>0</v>
      </c>
      <c r="E55" s="26">
        <v>0</v>
      </c>
      <c r="F55" s="240">
        <f t="shared" si="0"/>
        <v>0</v>
      </c>
      <c r="G55" s="240">
        <f t="shared" si="1"/>
        <v>0</v>
      </c>
      <c r="H55" s="240">
        <f t="shared" si="2"/>
        <v>0</v>
      </c>
      <c r="I55" s="240">
        <f t="shared" si="3"/>
        <v>0</v>
      </c>
      <c r="J55" s="21"/>
    </row>
    <row r="56" spans="1:10" ht="25.5" x14ac:dyDescent="0.25">
      <c r="A56" s="84" t="s">
        <v>251</v>
      </c>
      <c r="B56" s="120" t="s">
        <v>386</v>
      </c>
      <c r="C56" s="218"/>
      <c r="D56" s="25"/>
      <c r="E56" s="26">
        <v>0</v>
      </c>
      <c r="F56" s="240">
        <f t="shared" si="0"/>
        <v>0</v>
      </c>
      <c r="G56" s="240">
        <f t="shared" si="1"/>
        <v>0</v>
      </c>
      <c r="H56" s="240">
        <f t="shared" si="2"/>
        <v>0</v>
      </c>
      <c r="I56" s="240">
        <f t="shared" si="3"/>
        <v>0</v>
      </c>
      <c r="J56" s="21"/>
    </row>
    <row r="57" spans="1:10" ht="39" x14ac:dyDescent="0.25">
      <c r="A57" s="259" t="s">
        <v>494</v>
      </c>
      <c r="B57" s="120" t="s">
        <v>387</v>
      </c>
      <c r="C57" s="273">
        <v>4119.09</v>
      </c>
      <c r="D57" s="308">
        <v>1743.48</v>
      </c>
      <c r="E57" s="26">
        <v>0</v>
      </c>
      <c r="F57" s="240">
        <f t="shared" si="0"/>
        <v>0</v>
      </c>
      <c r="G57" s="240">
        <f t="shared" si="1"/>
        <v>0</v>
      </c>
      <c r="H57" s="240">
        <f t="shared" si="2"/>
        <v>0</v>
      </c>
      <c r="I57" s="240">
        <f t="shared" si="3"/>
        <v>0</v>
      </c>
      <c r="J57" s="21"/>
    </row>
    <row r="58" spans="1:10" ht="25.5" customHeight="1" x14ac:dyDescent="0.25">
      <c r="A58" s="84" t="s">
        <v>252</v>
      </c>
      <c r="B58" s="120" t="s">
        <v>388</v>
      </c>
      <c r="C58" s="120">
        <v>0</v>
      </c>
      <c r="D58" s="25">
        <v>0</v>
      </c>
      <c r="E58" s="26">
        <v>0</v>
      </c>
      <c r="F58" s="240">
        <f t="shared" si="0"/>
        <v>0</v>
      </c>
      <c r="G58" s="240">
        <f t="shared" si="1"/>
        <v>0</v>
      </c>
      <c r="H58" s="240">
        <f t="shared" si="2"/>
        <v>0</v>
      </c>
      <c r="I58" s="240">
        <f t="shared" si="3"/>
        <v>0</v>
      </c>
      <c r="J58" s="21"/>
    </row>
    <row r="59" spans="1:10" ht="40.5" customHeight="1" x14ac:dyDescent="0.25">
      <c r="A59" s="42" t="s">
        <v>484</v>
      </c>
      <c r="B59" s="75">
        <v>1042</v>
      </c>
      <c r="C59" s="120">
        <v>0</v>
      </c>
      <c r="D59" s="25">
        <v>0</v>
      </c>
      <c r="E59" s="26">
        <v>0</v>
      </c>
      <c r="F59" s="240">
        <f t="shared" si="0"/>
        <v>0</v>
      </c>
      <c r="G59" s="240">
        <f t="shared" si="1"/>
        <v>0</v>
      </c>
      <c r="H59" s="240">
        <f t="shared" si="2"/>
        <v>0</v>
      </c>
      <c r="I59" s="240">
        <f t="shared" si="3"/>
        <v>0</v>
      </c>
      <c r="J59" s="21"/>
    </row>
    <row r="60" spans="1:10" ht="25.5" x14ac:dyDescent="0.25">
      <c r="A60" s="84" t="s">
        <v>262</v>
      </c>
      <c r="B60" s="120" t="s">
        <v>389</v>
      </c>
      <c r="C60" s="120">
        <v>0</v>
      </c>
      <c r="D60" s="25">
        <v>0</v>
      </c>
      <c r="E60" s="26">
        <v>0</v>
      </c>
      <c r="F60" s="240">
        <f t="shared" si="0"/>
        <v>0</v>
      </c>
      <c r="G60" s="240">
        <f t="shared" si="1"/>
        <v>0</v>
      </c>
      <c r="H60" s="240">
        <f t="shared" si="2"/>
        <v>0</v>
      </c>
      <c r="I60" s="240">
        <f t="shared" si="3"/>
        <v>0</v>
      </c>
      <c r="J60" s="21"/>
    </row>
    <row r="61" spans="1:10" x14ac:dyDescent="0.25">
      <c r="A61" s="84" t="s">
        <v>36</v>
      </c>
      <c r="B61" s="120" t="s">
        <v>390</v>
      </c>
      <c r="C61" s="120">
        <v>0</v>
      </c>
      <c r="D61" s="25">
        <v>0</v>
      </c>
      <c r="E61" s="26">
        <v>0</v>
      </c>
      <c r="F61" s="240">
        <f t="shared" si="0"/>
        <v>0</v>
      </c>
      <c r="G61" s="240">
        <f t="shared" si="1"/>
        <v>0</v>
      </c>
      <c r="H61" s="240">
        <f t="shared" si="2"/>
        <v>0</v>
      </c>
      <c r="I61" s="240">
        <f t="shared" si="3"/>
        <v>0</v>
      </c>
      <c r="J61" s="21"/>
    </row>
    <row r="62" spans="1:10" ht="38.25" x14ac:dyDescent="0.25">
      <c r="A62" s="42" t="s">
        <v>485</v>
      </c>
      <c r="B62" s="75">
        <v>1043</v>
      </c>
      <c r="C62" s="120">
        <v>0</v>
      </c>
      <c r="D62" s="25">
        <v>0</v>
      </c>
      <c r="E62" s="26">
        <v>0</v>
      </c>
      <c r="F62" s="240">
        <f t="shared" si="0"/>
        <v>0</v>
      </c>
      <c r="G62" s="240">
        <f t="shared" si="1"/>
        <v>0</v>
      </c>
      <c r="H62" s="240">
        <f t="shared" si="2"/>
        <v>0</v>
      </c>
      <c r="I62" s="240">
        <f t="shared" si="3"/>
        <v>0</v>
      </c>
      <c r="J62" s="21"/>
    </row>
    <row r="63" spans="1:10" x14ac:dyDescent="0.25">
      <c r="A63" s="84" t="s">
        <v>263</v>
      </c>
      <c r="B63" s="120" t="s">
        <v>391</v>
      </c>
      <c r="C63" s="120">
        <v>0</v>
      </c>
      <c r="D63" s="25">
        <v>0</v>
      </c>
      <c r="E63" s="26">
        <v>0</v>
      </c>
      <c r="F63" s="240">
        <f t="shared" si="0"/>
        <v>0</v>
      </c>
      <c r="G63" s="240">
        <f t="shared" si="1"/>
        <v>0</v>
      </c>
      <c r="H63" s="240">
        <f t="shared" si="2"/>
        <v>0</v>
      </c>
      <c r="I63" s="240">
        <f t="shared" si="3"/>
        <v>0</v>
      </c>
      <c r="J63" s="21"/>
    </row>
    <row r="64" spans="1:10" x14ac:dyDescent="0.25">
      <c r="A64" s="84" t="s">
        <v>376</v>
      </c>
      <c r="B64" s="120" t="s">
        <v>392</v>
      </c>
      <c r="C64" s="120">
        <v>0</v>
      </c>
      <c r="D64" s="25">
        <v>0</v>
      </c>
      <c r="E64" s="26"/>
      <c r="F64" s="240">
        <f t="shared" si="0"/>
        <v>0</v>
      </c>
      <c r="G64" s="240">
        <f t="shared" si="1"/>
        <v>0</v>
      </c>
      <c r="H64" s="240">
        <f t="shared" si="2"/>
        <v>0</v>
      </c>
      <c r="I64" s="240">
        <f t="shared" si="3"/>
        <v>0</v>
      </c>
      <c r="J64" s="21"/>
    </row>
    <row r="65" spans="1:10" x14ac:dyDescent="0.25">
      <c r="A65" s="76" t="s">
        <v>38</v>
      </c>
      <c r="B65" s="30">
        <v>1050</v>
      </c>
      <c r="C65" s="30">
        <f>C66</f>
        <v>0</v>
      </c>
      <c r="D65" s="30">
        <f t="shared" ref="D65:E65" si="8">D66</f>
        <v>0</v>
      </c>
      <c r="E65" s="30">
        <f t="shared" si="8"/>
        <v>0</v>
      </c>
      <c r="F65" s="240">
        <f t="shared" si="0"/>
        <v>0</v>
      </c>
      <c r="G65" s="240">
        <f t="shared" si="1"/>
        <v>0</v>
      </c>
      <c r="H65" s="240">
        <f t="shared" si="2"/>
        <v>0</v>
      </c>
      <c r="I65" s="240">
        <f t="shared" si="3"/>
        <v>0</v>
      </c>
      <c r="J65" s="21" t="s">
        <v>396</v>
      </c>
    </row>
    <row r="66" spans="1:10" x14ac:dyDescent="0.25">
      <c r="A66" s="31" t="s">
        <v>490</v>
      </c>
      <c r="B66" s="141">
        <v>1051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1"/>
    </row>
    <row r="67" spans="1:10" x14ac:dyDescent="0.25">
      <c r="A67" s="31" t="s">
        <v>40</v>
      </c>
      <c r="B67" s="141">
        <v>1052</v>
      </c>
      <c r="C67" s="29">
        <v>0</v>
      </c>
      <c r="D67" s="29">
        <v>0</v>
      </c>
      <c r="E67" s="29">
        <v>0</v>
      </c>
      <c r="F67" s="240">
        <f t="shared" si="0"/>
        <v>0</v>
      </c>
      <c r="G67" s="240">
        <f t="shared" si="1"/>
        <v>0</v>
      </c>
      <c r="H67" s="240">
        <f t="shared" si="2"/>
        <v>0</v>
      </c>
      <c r="I67" s="240">
        <f t="shared" si="3"/>
        <v>0</v>
      </c>
      <c r="J67" s="21"/>
    </row>
    <row r="68" spans="1:10" ht="25.5" x14ac:dyDescent="0.25">
      <c r="A68" s="31" t="s">
        <v>41</v>
      </c>
      <c r="B68" s="141">
        <v>1053</v>
      </c>
      <c r="C68" s="29">
        <v>0</v>
      </c>
      <c r="D68" s="29">
        <v>0</v>
      </c>
      <c r="E68" s="29">
        <v>0</v>
      </c>
      <c r="F68" s="240">
        <f t="shared" si="0"/>
        <v>0</v>
      </c>
      <c r="G68" s="240">
        <f t="shared" si="1"/>
        <v>0</v>
      </c>
      <c r="H68" s="240">
        <f t="shared" si="2"/>
        <v>0</v>
      </c>
      <c r="I68" s="240">
        <f t="shared" si="3"/>
        <v>0</v>
      </c>
      <c r="J68" s="21"/>
    </row>
    <row r="69" spans="1:10" x14ac:dyDescent="0.25">
      <c r="A69" s="142" t="s">
        <v>42</v>
      </c>
      <c r="B69" s="141">
        <v>1054</v>
      </c>
      <c r="C69" s="29">
        <v>0</v>
      </c>
      <c r="D69" s="29">
        <v>0</v>
      </c>
      <c r="E69" s="29">
        <v>0</v>
      </c>
      <c r="F69" s="240">
        <f t="shared" si="0"/>
        <v>0</v>
      </c>
      <c r="G69" s="240">
        <f t="shared" si="1"/>
        <v>0</v>
      </c>
      <c r="H69" s="240">
        <f t="shared" si="2"/>
        <v>0</v>
      </c>
      <c r="I69" s="240">
        <f t="shared" si="3"/>
        <v>0</v>
      </c>
      <c r="J69" s="21"/>
    </row>
    <row r="70" spans="1:10" ht="25.5" x14ac:dyDescent="0.25">
      <c r="A70" s="31" t="s">
        <v>43</v>
      </c>
      <c r="B70" s="141">
        <v>1055</v>
      </c>
      <c r="C70" s="29">
        <v>0</v>
      </c>
      <c r="D70" s="29">
        <v>0</v>
      </c>
      <c r="E70" s="29">
        <v>0</v>
      </c>
      <c r="F70" s="240">
        <f t="shared" si="0"/>
        <v>0</v>
      </c>
      <c r="G70" s="240">
        <f t="shared" si="1"/>
        <v>0</v>
      </c>
      <c r="H70" s="240">
        <f t="shared" si="2"/>
        <v>0</v>
      </c>
      <c r="I70" s="240">
        <f t="shared" si="3"/>
        <v>0</v>
      </c>
      <c r="J70" s="21"/>
    </row>
    <row r="71" spans="1:10" ht="57.75" customHeight="1" x14ac:dyDescent="0.25">
      <c r="A71" s="142" t="s">
        <v>44</v>
      </c>
      <c r="B71" s="118">
        <v>1056</v>
      </c>
      <c r="C71" s="29">
        <v>0</v>
      </c>
      <c r="D71" s="29">
        <v>0</v>
      </c>
      <c r="E71" s="29">
        <v>0</v>
      </c>
      <c r="F71" s="240">
        <f t="shared" si="0"/>
        <v>0</v>
      </c>
      <c r="G71" s="240">
        <f t="shared" si="1"/>
        <v>0</v>
      </c>
      <c r="H71" s="240">
        <f t="shared" si="2"/>
        <v>0</v>
      </c>
      <c r="I71" s="240">
        <f>E71*25%</f>
        <v>0</v>
      </c>
      <c r="J71" s="126" t="s">
        <v>45</v>
      </c>
    </row>
    <row r="72" spans="1:10" x14ac:dyDescent="0.25">
      <c r="A72" s="330" t="s">
        <v>46</v>
      </c>
      <c r="B72" s="331"/>
      <c r="C72" s="331"/>
      <c r="D72" s="331"/>
      <c r="E72" s="331"/>
      <c r="F72" s="331"/>
      <c r="G72" s="331"/>
      <c r="H72" s="331"/>
      <c r="I72" s="331"/>
      <c r="J72" s="332"/>
    </row>
    <row r="73" spans="1:10" ht="25.5" x14ac:dyDescent="0.25">
      <c r="A73" s="23" t="s">
        <v>47</v>
      </c>
      <c r="B73" s="30">
        <v>1100</v>
      </c>
      <c r="C73" s="229">
        <f>SUM(C88:C96)+C74+C81</f>
        <v>63890.619999999995</v>
      </c>
      <c r="D73" s="229">
        <f>SUM(D88:D96)+D74+D81</f>
        <v>74044.549154000008</v>
      </c>
      <c r="E73" s="229">
        <f>SUM(E88:E96)+E74+E81</f>
        <v>94352.652200000011</v>
      </c>
      <c r="F73" s="26">
        <f>E73*23%</f>
        <v>21701.110006000003</v>
      </c>
      <c r="G73" s="26">
        <f>E73*23%</f>
        <v>21701.110006000003</v>
      </c>
      <c r="H73" s="26">
        <f>E73*29%</f>
        <v>27362.269138</v>
      </c>
      <c r="I73" s="26">
        <f>E73*25%</f>
        <v>23588.163050000003</v>
      </c>
      <c r="J73" s="21" t="s">
        <v>398</v>
      </c>
    </row>
    <row r="74" spans="1:10" x14ac:dyDescent="0.25">
      <c r="A74" s="31" t="s">
        <v>260</v>
      </c>
      <c r="B74" s="32">
        <v>1110</v>
      </c>
      <c r="C74" s="230">
        <f>SUM(C75:C80)</f>
        <v>3613.2599999999998</v>
      </c>
      <c r="D74" s="230">
        <f t="shared" ref="D74:E74" si="9">SUM(D75:D80)</f>
        <v>4635.1499999999996</v>
      </c>
      <c r="E74" s="230">
        <f t="shared" si="9"/>
        <v>8894.0499999999993</v>
      </c>
      <c r="F74" s="26">
        <f t="shared" ref="F74:F137" si="10">E74*23%</f>
        <v>2045.6315</v>
      </c>
      <c r="G74" s="26">
        <f t="shared" ref="G74:G137" si="11">E74*23%</f>
        <v>2045.6315</v>
      </c>
      <c r="H74" s="26">
        <f t="shared" ref="H74:H137" si="12">E74*29%</f>
        <v>2579.2744999999995</v>
      </c>
      <c r="I74" s="26">
        <f t="shared" ref="I74:I137" si="13">E74*25%</f>
        <v>2223.5124999999998</v>
      </c>
      <c r="J74" s="33" t="s">
        <v>399</v>
      </c>
    </row>
    <row r="75" spans="1:10" ht="18.75" customHeight="1" x14ac:dyDescent="0.25">
      <c r="A75" s="34" t="s">
        <v>261</v>
      </c>
      <c r="B75" s="35">
        <v>1111</v>
      </c>
      <c r="C75" s="228">
        <f>1582.98+6.86</f>
        <v>1589.84</v>
      </c>
      <c r="D75" s="26">
        <f>1753.47+720.23</f>
        <v>2473.6999999999998</v>
      </c>
      <c r="E75" s="26">
        <v>2816.87</v>
      </c>
      <c r="F75" s="26">
        <f t="shared" si="10"/>
        <v>647.88009999999997</v>
      </c>
      <c r="G75" s="26">
        <f t="shared" si="11"/>
        <v>647.88009999999997</v>
      </c>
      <c r="H75" s="26">
        <f t="shared" si="12"/>
        <v>816.89229999999986</v>
      </c>
      <c r="I75" s="26">
        <f t="shared" si="13"/>
        <v>704.21749999999997</v>
      </c>
      <c r="J75" s="33"/>
    </row>
    <row r="76" spans="1:10" ht="25.5" x14ac:dyDescent="0.25">
      <c r="A76" s="37" t="s">
        <v>551</v>
      </c>
      <c r="B76" s="35">
        <v>1112</v>
      </c>
      <c r="C76" s="228">
        <v>0</v>
      </c>
      <c r="D76" s="228">
        <v>0</v>
      </c>
      <c r="E76" s="26">
        <v>3106.94</v>
      </c>
      <c r="F76" s="26">
        <f t="shared" si="10"/>
        <v>714.59620000000007</v>
      </c>
      <c r="G76" s="26">
        <f t="shared" si="11"/>
        <v>714.59620000000007</v>
      </c>
      <c r="H76" s="26">
        <f t="shared" si="12"/>
        <v>901.01259999999991</v>
      </c>
      <c r="I76" s="26">
        <f t="shared" si="13"/>
        <v>776.73500000000001</v>
      </c>
      <c r="J76" s="41"/>
    </row>
    <row r="77" spans="1:10" x14ac:dyDescent="0.25">
      <c r="A77" s="38" t="s">
        <v>266</v>
      </c>
      <c r="B77" s="35">
        <v>1113</v>
      </c>
      <c r="C77" s="228">
        <v>345.8</v>
      </c>
      <c r="D77" s="26">
        <v>230.74</v>
      </c>
      <c r="E77" s="26">
        <v>230.74</v>
      </c>
      <c r="F77" s="26">
        <f t="shared" si="10"/>
        <v>53.070200000000007</v>
      </c>
      <c r="G77" s="26">
        <f t="shared" si="11"/>
        <v>53.070200000000007</v>
      </c>
      <c r="H77" s="26">
        <f t="shared" si="12"/>
        <v>66.914599999999993</v>
      </c>
      <c r="I77" s="26">
        <f t="shared" si="13"/>
        <v>57.685000000000002</v>
      </c>
      <c r="J77" s="33"/>
    </row>
    <row r="78" spans="1:10" x14ac:dyDescent="0.25">
      <c r="A78" s="39" t="s">
        <v>377</v>
      </c>
      <c r="B78" s="35">
        <v>1114</v>
      </c>
      <c r="C78" s="228">
        <v>26.28</v>
      </c>
      <c r="D78" s="26">
        <v>98.88</v>
      </c>
      <c r="E78" s="26">
        <v>156.30000000000001</v>
      </c>
      <c r="F78" s="26">
        <f t="shared" si="10"/>
        <v>35.949000000000005</v>
      </c>
      <c r="G78" s="26">
        <f t="shared" si="11"/>
        <v>35.949000000000005</v>
      </c>
      <c r="H78" s="26">
        <f t="shared" si="12"/>
        <v>45.326999999999998</v>
      </c>
      <c r="I78" s="26">
        <f t="shared" si="13"/>
        <v>39.075000000000003</v>
      </c>
      <c r="J78" s="33"/>
    </row>
    <row r="79" spans="1:10" x14ac:dyDescent="0.25">
      <c r="A79" s="38" t="s">
        <v>378</v>
      </c>
      <c r="B79" s="35">
        <v>1115</v>
      </c>
      <c r="C79" s="228">
        <v>0</v>
      </c>
      <c r="D79" s="228">
        <v>32.380000000000003</v>
      </c>
      <c r="E79" s="26">
        <v>225.2</v>
      </c>
      <c r="F79" s="26">
        <f t="shared" si="10"/>
        <v>51.795999999999999</v>
      </c>
      <c r="G79" s="26">
        <f t="shared" si="11"/>
        <v>51.795999999999999</v>
      </c>
      <c r="H79" s="26">
        <f t="shared" si="12"/>
        <v>65.307999999999993</v>
      </c>
      <c r="I79" s="26">
        <f t="shared" si="13"/>
        <v>56.3</v>
      </c>
      <c r="J79" s="33"/>
    </row>
    <row r="80" spans="1:10" ht="15.75" customHeight="1" x14ac:dyDescent="0.25">
      <c r="A80" s="38" t="s">
        <v>379</v>
      </c>
      <c r="B80" s="35">
        <v>1116</v>
      </c>
      <c r="C80" s="231">
        <v>1651.34</v>
      </c>
      <c r="D80" s="26">
        <v>1799.45</v>
      </c>
      <c r="E80" s="26">
        <v>2358</v>
      </c>
      <c r="F80" s="26">
        <f t="shared" si="10"/>
        <v>542.34</v>
      </c>
      <c r="G80" s="26">
        <f t="shared" si="11"/>
        <v>542.34</v>
      </c>
      <c r="H80" s="26">
        <f t="shared" si="12"/>
        <v>683.81999999999994</v>
      </c>
      <c r="I80" s="26">
        <f t="shared" si="13"/>
        <v>589.5</v>
      </c>
      <c r="J80" s="33"/>
    </row>
    <row r="81" spans="1:10" ht="26.25" x14ac:dyDescent="0.25">
      <c r="A81" s="43" t="s">
        <v>48</v>
      </c>
      <c r="B81" s="33">
        <v>1120</v>
      </c>
      <c r="C81" s="234">
        <f>SUM(C82:C87)</f>
        <v>19512.150000000001</v>
      </c>
      <c r="D81" s="234">
        <f>SUM(D82:D87)</f>
        <v>23938.07</v>
      </c>
      <c r="E81" s="263">
        <f>E82+E83+E84+E85+E86+E87</f>
        <v>26698.85</v>
      </c>
      <c r="F81" s="26">
        <f t="shared" si="10"/>
        <v>6140.7354999999998</v>
      </c>
      <c r="G81" s="26">
        <f t="shared" si="11"/>
        <v>6140.7354999999998</v>
      </c>
      <c r="H81" s="26">
        <f t="shared" si="12"/>
        <v>7742.6664999999994</v>
      </c>
      <c r="I81" s="26">
        <f t="shared" si="13"/>
        <v>6674.7124999999996</v>
      </c>
      <c r="J81" s="33" t="s">
        <v>400</v>
      </c>
    </row>
    <row r="82" spans="1:10" x14ac:dyDescent="0.25">
      <c r="A82" s="39" t="s">
        <v>49</v>
      </c>
      <c r="B82" s="35">
        <v>1121</v>
      </c>
      <c r="C82" s="232">
        <v>19134.97</v>
      </c>
      <c r="D82" s="262">
        <v>23641.65</v>
      </c>
      <c r="E82" s="36">
        <v>26387.85</v>
      </c>
      <c r="F82" s="262">
        <f t="shared" si="10"/>
        <v>6069.2055</v>
      </c>
      <c r="G82" s="262">
        <f t="shared" si="11"/>
        <v>6069.2055</v>
      </c>
      <c r="H82" s="262">
        <f t="shared" si="12"/>
        <v>7652.4764999999989</v>
      </c>
      <c r="I82" s="262">
        <f t="shared" si="13"/>
        <v>6596.9624999999996</v>
      </c>
      <c r="J82" s="33"/>
    </row>
    <row r="83" spans="1:10" ht="26.25" x14ac:dyDescent="0.25">
      <c r="A83" s="39" t="s">
        <v>50</v>
      </c>
      <c r="B83" s="35">
        <v>1122</v>
      </c>
      <c r="C83" s="228">
        <v>0</v>
      </c>
      <c r="D83" s="228">
        <v>0</v>
      </c>
      <c r="E83" s="36">
        <v>0</v>
      </c>
      <c r="F83" s="26">
        <f t="shared" si="10"/>
        <v>0</v>
      </c>
      <c r="G83" s="26">
        <f t="shared" si="11"/>
        <v>0</v>
      </c>
      <c r="H83" s="26">
        <f t="shared" si="12"/>
        <v>0</v>
      </c>
      <c r="I83" s="26">
        <f t="shared" si="13"/>
        <v>0</v>
      </c>
      <c r="J83" s="33"/>
    </row>
    <row r="84" spans="1:10" x14ac:dyDescent="0.25">
      <c r="A84" s="39" t="s">
        <v>51</v>
      </c>
      <c r="B84" s="35">
        <v>1123</v>
      </c>
      <c r="C84" s="228">
        <v>0</v>
      </c>
      <c r="D84" s="228">
        <v>0</v>
      </c>
      <c r="E84" s="36">
        <v>0</v>
      </c>
      <c r="F84" s="26">
        <f t="shared" si="10"/>
        <v>0</v>
      </c>
      <c r="G84" s="26">
        <f t="shared" si="11"/>
        <v>0</v>
      </c>
      <c r="H84" s="26">
        <f t="shared" si="12"/>
        <v>0</v>
      </c>
      <c r="I84" s="26">
        <f t="shared" si="13"/>
        <v>0</v>
      </c>
      <c r="J84" s="33"/>
    </row>
    <row r="85" spans="1:10" x14ac:dyDescent="0.25">
      <c r="A85" s="39" t="s">
        <v>52</v>
      </c>
      <c r="B85" s="35">
        <v>1124</v>
      </c>
      <c r="C85" s="228">
        <v>0</v>
      </c>
      <c r="D85" s="228">
        <v>0</v>
      </c>
      <c r="E85" s="36">
        <v>0</v>
      </c>
      <c r="F85" s="26">
        <f t="shared" si="10"/>
        <v>0</v>
      </c>
      <c r="G85" s="26">
        <f t="shared" si="11"/>
        <v>0</v>
      </c>
      <c r="H85" s="26">
        <f t="shared" si="12"/>
        <v>0</v>
      </c>
      <c r="I85" s="26">
        <f t="shared" si="13"/>
        <v>0</v>
      </c>
      <c r="J85" s="33"/>
    </row>
    <row r="86" spans="1:10" x14ac:dyDescent="0.25">
      <c r="A86" s="39" t="s">
        <v>53</v>
      </c>
      <c r="B86" s="35">
        <v>1125</v>
      </c>
      <c r="C86" s="228">
        <f>287.07+82.67</f>
        <v>369.74</v>
      </c>
      <c r="D86" s="26">
        <v>292.94</v>
      </c>
      <c r="E86" s="26">
        <v>285.3</v>
      </c>
      <c r="F86" s="26">
        <f t="shared" si="10"/>
        <v>65.619</v>
      </c>
      <c r="G86" s="26">
        <f t="shared" si="11"/>
        <v>65.619</v>
      </c>
      <c r="H86" s="26">
        <f t="shared" si="12"/>
        <v>82.736999999999995</v>
      </c>
      <c r="I86" s="26">
        <f t="shared" si="13"/>
        <v>71.325000000000003</v>
      </c>
      <c r="J86" s="33"/>
    </row>
    <row r="87" spans="1:10" x14ac:dyDescent="0.25">
      <c r="A87" s="38" t="s">
        <v>380</v>
      </c>
      <c r="B87" s="121">
        <v>1126</v>
      </c>
      <c r="C87" s="233">
        <v>7.44</v>
      </c>
      <c r="D87" s="26">
        <v>3.48</v>
      </c>
      <c r="E87" s="26">
        <v>25.7</v>
      </c>
      <c r="F87" s="26">
        <f t="shared" si="10"/>
        <v>5.9110000000000005</v>
      </c>
      <c r="G87" s="26">
        <f t="shared" si="11"/>
        <v>5.9110000000000005</v>
      </c>
      <c r="H87" s="26">
        <f t="shared" si="12"/>
        <v>7.4529999999999994</v>
      </c>
      <c r="I87" s="26">
        <f t="shared" si="13"/>
        <v>6.4249999999999998</v>
      </c>
      <c r="J87" s="33"/>
    </row>
    <row r="88" spans="1:10" x14ac:dyDescent="0.25">
      <c r="A88" s="45" t="s">
        <v>54</v>
      </c>
      <c r="B88" s="41">
        <v>1130</v>
      </c>
      <c r="C88" s="260">
        <v>1698.3</v>
      </c>
      <c r="D88" s="26">
        <v>1821.56</v>
      </c>
      <c r="E88" s="26">
        <v>2118</v>
      </c>
      <c r="F88" s="26">
        <f t="shared" si="10"/>
        <v>487.14000000000004</v>
      </c>
      <c r="G88" s="26">
        <f t="shared" si="11"/>
        <v>487.14000000000004</v>
      </c>
      <c r="H88" s="26">
        <f t="shared" si="12"/>
        <v>614.21999999999991</v>
      </c>
      <c r="I88" s="26">
        <f t="shared" si="13"/>
        <v>529.5</v>
      </c>
      <c r="J88" s="33"/>
    </row>
    <row r="89" spans="1:10" x14ac:dyDescent="0.25">
      <c r="A89" s="43" t="s">
        <v>55</v>
      </c>
      <c r="B89" s="33">
        <v>1140</v>
      </c>
      <c r="C89" s="261">
        <v>25673.05</v>
      </c>
      <c r="D89" s="26">
        <v>28139.19</v>
      </c>
      <c r="E89" s="26">
        <v>39035.01</v>
      </c>
      <c r="F89" s="26">
        <f t="shared" si="10"/>
        <v>8978.0523000000012</v>
      </c>
      <c r="G89" s="26">
        <f t="shared" si="11"/>
        <v>8978.0523000000012</v>
      </c>
      <c r="H89" s="26">
        <f t="shared" si="12"/>
        <v>11320.152899999999</v>
      </c>
      <c r="I89" s="26">
        <f t="shared" si="13"/>
        <v>9758.7525000000005</v>
      </c>
      <c r="J89" s="33"/>
    </row>
    <row r="90" spans="1:10" x14ac:dyDescent="0.25">
      <c r="A90" s="43" t="s">
        <v>56</v>
      </c>
      <c r="B90" s="33">
        <v>1150</v>
      </c>
      <c r="C90" s="261">
        <v>5477.52</v>
      </c>
      <c r="D90" s="26">
        <v>5520.54</v>
      </c>
      <c r="E90" s="26">
        <f>E89*22%</f>
        <v>8587.7021999999997</v>
      </c>
      <c r="F90" s="26">
        <f t="shared" si="10"/>
        <v>1975.1715059999999</v>
      </c>
      <c r="G90" s="26">
        <f t="shared" si="11"/>
        <v>1975.1715059999999</v>
      </c>
      <c r="H90" s="26">
        <f t="shared" si="12"/>
        <v>2490.433638</v>
      </c>
      <c r="I90" s="26">
        <f t="shared" si="13"/>
        <v>2146.9255499999999</v>
      </c>
      <c r="J90" s="33"/>
    </row>
    <row r="91" spans="1:10" x14ac:dyDescent="0.25">
      <c r="A91" s="45" t="s">
        <v>57</v>
      </c>
      <c r="B91" s="33">
        <v>1160</v>
      </c>
      <c r="C91" s="234"/>
      <c r="D91" s="26">
        <f t="shared" ref="D91:D136" si="14">C91*1.3169</f>
        <v>0</v>
      </c>
      <c r="E91" s="26">
        <f>D91*1.3169</f>
        <v>0</v>
      </c>
      <c r="F91" s="26">
        <f t="shared" si="10"/>
        <v>0</v>
      </c>
      <c r="G91" s="26">
        <f t="shared" si="11"/>
        <v>0</v>
      </c>
      <c r="H91" s="26">
        <f t="shared" si="12"/>
        <v>0</v>
      </c>
      <c r="I91" s="26">
        <f t="shared" si="13"/>
        <v>0</v>
      </c>
      <c r="J91" s="33"/>
    </row>
    <row r="92" spans="1:10" x14ac:dyDescent="0.25">
      <c r="A92" s="43" t="s">
        <v>357</v>
      </c>
      <c r="B92" s="41">
        <v>1170</v>
      </c>
      <c r="C92" s="260">
        <v>0</v>
      </c>
      <c r="D92" s="260">
        <v>0</v>
      </c>
      <c r="E92" s="26"/>
      <c r="F92" s="26">
        <f t="shared" si="10"/>
        <v>0</v>
      </c>
      <c r="G92" s="26">
        <f t="shared" si="11"/>
        <v>0</v>
      </c>
      <c r="H92" s="26">
        <f t="shared" si="12"/>
        <v>0</v>
      </c>
      <c r="I92" s="26">
        <f t="shared" si="13"/>
        <v>0</v>
      </c>
      <c r="J92" s="33" t="s">
        <v>264</v>
      </c>
    </row>
    <row r="93" spans="1:10" ht="28.5" customHeight="1" x14ac:dyDescent="0.25">
      <c r="A93" s="43" t="s">
        <v>72</v>
      </c>
      <c r="B93" s="41">
        <v>1180</v>
      </c>
      <c r="C93" s="260">
        <v>63.07</v>
      </c>
      <c r="D93" s="26">
        <v>42.75</v>
      </c>
      <c r="E93" s="26">
        <v>211.3</v>
      </c>
      <c r="F93" s="26">
        <f t="shared" si="10"/>
        <v>48.599000000000004</v>
      </c>
      <c r="G93" s="26">
        <f t="shared" si="11"/>
        <v>48.599000000000004</v>
      </c>
      <c r="H93" s="26">
        <f t="shared" si="12"/>
        <v>61.277000000000001</v>
      </c>
      <c r="I93" s="26">
        <f t="shared" si="13"/>
        <v>52.825000000000003</v>
      </c>
      <c r="J93" s="41"/>
    </row>
    <row r="94" spans="1:10" ht="51.75" x14ac:dyDescent="0.25">
      <c r="A94" s="43" t="s">
        <v>58</v>
      </c>
      <c r="B94" s="33">
        <v>1190</v>
      </c>
      <c r="C94" s="234">
        <f>728.86+45.8</f>
        <v>774.66</v>
      </c>
      <c r="D94" s="26">
        <v>1270.19</v>
      </c>
      <c r="E94" s="264">
        <v>1320.9</v>
      </c>
      <c r="F94" s="26">
        <f t="shared" si="10"/>
        <v>303.80700000000002</v>
      </c>
      <c r="G94" s="26">
        <f t="shared" si="11"/>
        <v>303.80700000000002</v>
      </c>
      <c r="H94" s="26">
        <f t="shared" si="12"/>
        <v>383.06099999999998</v>
      </c>
      <c r="I94" s="26">
        <f t="shared" si="13"/>
        <v>330.22500000000002</v>
      </c>
      <c r="J94" s="33"/>
    </row>
    <row r="95" spans="1:10" x14ac:dyDescent="0.25">
      <c r="A95" s="43" t="s">
        <v>59</v>
      </c>
      <c r="B95" s="33">
        <v>1200</v>
      </c>
      <c r="C95" s="234">
        <v>4200.66</v>
      </c>
      <c r="D95" s="26">
        <f t="shared" si="14"/>
        <v>5531.8491539999995</v>
      </c>
      <c r="E95" s="43">
        <v>4282.5600000000004</v>
      </c>
      <c r="F95" s="26">
        <f t="shared" si="10"/>
        <v>984.98880000000008</v>
      </c>
      <c r="G95" s="26">
        <f t="shared" si="11"/>
        <v>984.98880000000008</v>
      </c>
      <c r="H95" s="26">
        <f t="shared" si="12"/>
        <v>1241.9424000000001</v>
      </c>
      <c r="I95" s="26">
        <f t="shared" si="13"/>
        <v>1070.6400000000001</v>
      </c>
      <c r="J95" s="33"/>
    </row>
    <row r="96" spans="1:10" x14ac:dyDescent="0.25">
      <c r="A96" s="43" t="s">
        <v>60</v>
      </c>
      <c r="B96" s="33">
        <v>1210</v>
      </c>
      <c r="C96" s="234">
        <f>SUM(C97:C102)</f>
        <v>2877.9499999999994</v>
      </c>
      <c r="D96" s="234">
        <f t="shared" ref="D96:I96" si="15">SUM(D97:D102)</f>
        <v>3145.2499999999995</v>
      </c>
      <c r="E96" s="234">
        <f t="shared" si="15"/>
        <v>3204.2799999999997</v>
      </c>
      <c r="F96" s="234">
        <f t="shared" si="15"/>
        <v>736.98440000000005</v>
      </c>
      <c r="G96" s="234">
        <f t="shared" si="15"/>
        <v>736.98440000000005</v>
      </c>
      <c r="H96" s="234">
        <f t="shared" si="15"/>
        <v>929.24119999999994</v>
      </c>
      <c r="I96" s="234">
        <f t="shared" si="15"/>
        <v>801.06999999999994</v>
      </c>
      <c r="J96" s="33"/>
    </row>
    <row r="97" spans="1:10" x14ac:dyDescent="0.25">
      <c r="A97" s="36" t="s">
        <v>540</v>
      </c>
      <c r="B97" s="35" t="s">
        <v>397</v>
      </c>
      <c r="C97" s="228">
        <f>1979.84+202.42</f>
        <v>2182.2599999999998</v>
      </c>
      <c r="D97" s="262">
        <v>2201.41</v>
      </c>
      <c r="E97" s="36">
        <v>2231.5</v>
      </c>
      <c r="F97" s="262">
        <f t="shared" si="10"/>
        <v>513.245</v>
      </c>
      <c r="G97" s="262">
        <f t="shared" si="11"/>
        <v>513.245</v>
      </c>
      <c r="H97" s="262">
        <f t="shared" si="12"/>
        <v>647.13499999999999</v>
      </c>
      <c r="I97" s="262">
        <f t="shared" si="13"/>
        <v>557.875</v>
      </c>
      <c r="J97" s="33"/>
    </row>
    <row r="98" spans="1:10" x14ac:dyDescent="0.25">
      <c r="A98" s="36" t="s">
        <v>536</v>
      </c>
      <c r="B98" s="35">
        <v>1212</v>
      </c>
      <c r="C98" s="228">
        <v>79.02</v>
      </c>
      <c r="D98" s="262">
        <v>97.94</v>
      </c>
      <c r="E98" s="36">
        <v>102.7</v>
      </c>
      <c r="F98" s="262">
        <f t="shared" si="10"/>
        <v>23.621000000000002</v>
      </c>
      <c r="G98" s="262">
        <f t="shared" si="11"/>
        <v>23.621000000000002</v>
      </c>
      <c r="H98" s="262">
        <f t="shared" si="12"/>
        <v>29.782999999999998</v>
      </c>
      <c r="I98" s="262">
        <f t="shared" si="13"/>
        <v>25.675000000000001</v>
      </c>
      <c r="J98" s="33"/>
    </row>
    <row r="99" spans="1:10" x14ac:dyDescent="0.25">
      <c r="A99" s="36" t="s">
        <v>549</v>
      </c>
      <c r="B99" s="35">
        <v>1213</v>
      </c>
      <c r="C99" s="228">
        <v>194.43</v>
      </c>
      <c r="D99" s="262">
        <v>357.47</v>
      </c>
      <c r="E99" s="36">
        <v>362.48</v>
      </c>
      <c r="F99" s="262">
        <f t="shared" si="10"/>
        <v>83.370400000000004</v>
      </c>
      <c r="G99" s="262">
        <f t="shared" si="11"/>
        <v>83.370400000000004</v>
      </c>
      <c r="H99" s="262">
        <f t="shared" si="12"/>
        <v>105.11919999999999</v>
      </c>
      <c r="I99" s="262">
        <f t="shared" si="13"/>
        <v>90.62</v>
      </c>
      <c r="J99" s="33"/>
    </row>
    <row r="100" spans="1:10" x14ac:dyDescent="0.25">
      <c r="A100" s="36" t="s">
        <v>537</v>
      </c>
      <c r="B100" s="35">
        <v>1214</v>
      </c>
      <c r="C100" s="228">
        <v>35.58</v>
      </c>
      <c r="D100" s="262">
        <v>91.25</v>
      </c>
      <c r="E100" s="36">
        <v>97.2</v>
      </c>
      <c r="F100" s="262">
        <f t="shared" si="10"/>
        <v>22.356000000000002</v>
      </c>
      <c r="G100" s="262">
        <f t="shared" si="11"/>
        <v>22.356000000000002</v>
      </c>
      <c r="H100" s="262">
        <f t="shared" si="12"/>
        <v>28.187999999999999</v>
      </c>
      <c r="I100" s="262">
        <f t="shared" si="13"/>
        <v>24.3</v>
      </c>
      <c r="J100" s="33"/>
    </row>
    <row r="101" spans="1:10" x14ac:dyDescent="0.25">
      <c r="A101" s="36" t="s">
        <v>538</v>
      </c>
      <c r="B101" s="35">
        <v>1215</v>
      </c>
      <c r="C101" s="228">
        <v>235.45</v>
      </c>
      <c r="D101" s="262">
        <v>229.27</v>
      </c>
      <c r="E101" s="36">
        <v>237.6</v>
      </c>
      <c r="F101" s="262">
        <f t="shared" si="10"/>
        <v>54.648000000000003</v>
      </c>
      <c r="G101" s="262">
        <f t="shared" si="11"/>
        <v>54.648000000000003</v>
      </c>
      <c r="H101" s="262">
        <f t="shared" si="12"/>
        <v>68.903999999999996</v>
      </c>
      <c r="I101" s="262">
        <f t="shared" si="13"/>
        <v>59.4</v>
      </c>
      <c r="J101" s="33"/>
    </row>
    <row r="102" spans="1:10" x14ac:dyDescent="0.25">
      <c r="A102" s="36" t="s">
        <v>539</v>
      </c>
      <c r="B102" s="35">
        <v>1216</v>
      </c>
      <c r="C102" s="228">
        <v>151.21</v>
      </c>
      <c r="D102" s="262">
        <v>167.91</v>
      </c>
      <c r="E102" s="36">
        <v>172.8</v>
      </c>
      <c r="F102" s="262">
        <f t="shared" si="10"/>
        <v>39.744000000000007</v>
      </c>
      <c r="G102" s="262">
        <f t="shared" si="11"/>
        <v>39.744000000000007</v>
      </c>
      <c r="H102" s="262">
        <f t="shared" si="12"/>
        <v>50.112000000000002</v>
      </c>
      <c r="I102" s="262">
        <f t="shared" si="13"/>
        <v>43.2</v>
      </c>
      <c r="J102" s="33"/>
    </row>
    <row r="103" spans="1:10" ht="26.25" x14ac:dyDescent="0.25">
      <c r="A103" s="43" t="s">
        <v>61</v>
      </c>
      <c r="B103" s="44">
        <v>1300</v>
      </c>
      <c r="C103" s="234">
        <f>SUM(C111:C123)+C104</f>
        <v>8027.1100000000006</v>
      </c>
      <c r="D103" s="234">
        <f t="shared" ref="D103:I103" si="16">SUM(D111:D123)+D104</f>
        <v>9194.6683910000011</v>
      </c>
      <c r="E103" s="234">
        <f t="shared" si="16"/>
        <v>9171.5</v>
      </c>
      <c r="F103" s="234">
        <f t="shared" si="16"/>
        <v>2109.4449999999997</v>
      </c>
      <c r="G103" s="234">
        <f t="shared" si="16"/>
        <v>2109.4449999999997</v>
      </c>
      <c r="H103" s="234">
        <f t="shared" si="16"/>
        <v>2659.7349999999997</v>
      </c>
      <c r="I103" s="234">
        <f t="shared" si="16"/>
        <v>2292.875</v>
      </c>
      <c r="J103" s="33" t="s">
        <v>401</v>
      </c>
    </row>
    <row r="104" spans="1:10" x14ac:dyDescent="0.25">
      <c r="A104" s="31" t="s">
        <v>62</v>
      </c>
      <c r="B104" s="33">
        <v>1310</v>
      </c>
      <c r="C104" s="231">
        <f>SUM(C105:C109)</f>
        <v>244.82</v>
      </c>
      <c r="D104" s="26">
        <f t="shared" si="14"/>
        <v>322.403458</v>
      </c>
      <c r="E104" s="43">
        <f>SUM(E105:E110)</f>
        <v>229.64</v>
      </c>
      <c r="F104" s="26">
        <f t="shared" si="10"/>
        <v>52.8172</v>
      </c>
      <c r="G104" s="26">
        <f t="shared" si="11"/>
        <v>52.8172</v>
      </c>
      <c r="H104" s="26">
        <f t="shared" si="12"/>
        <v>66.59559999999999</v>
      </c>
      <c r="I104" s="26">
        <f t="shared" si="13"/>
        <v>57.41</v>
      </c>
      <c r="J104" s="33" t="s">
        <v>63</v>
      </c>
    </row>
    <row r="105" spans="1:10" ht="26.25" x14ac:dyDescent="0.25">
      <c r="A105" s="39" t="s">
        <v>381</v>
      </c>
      <c r="B105" s="35">
        <v>1311</v>
      </c>
      <c r="C105" s="228">
        <f>100.32+28.03+1+3.56+66.92+7.24-32.13</f>
        <v>174.94</v>
      </c>
      <c r="D105" s="26">
        <v>184.63</v>
      </c>
      <c r="E105" s="36">
        <v>123.84</v>
      </c>
      <c r="F105" s="26">
        <f t="shared" si="10"/>
        <v>28.483200000000004</v>
      </c>
      <c r="G105" s="26">
        <f t="shared" si="11"/>
        <v>28.483200000000004</v>
      </c>
      <c r="H105" s="26">
        <f t="shared" si="12"/>
        <v>35.913599999999995</v>
      </c>
      <c r="I105" s="26">
        <f t="shared" si="13"/>
        <v>30.96</v>
      </c>
      <c r="J105" s="33"/>
    </row>
    <row r="106" spans="1:10" ht="26.25" x14ac:dyDescent="0.25">
      <c r="A106" s="39" t="s">
        <v>64</v>
      </c>
      <c r="B106" s="35">
        <v>1312</v>
      </c>
      <c r="C106" s="228">
        <f>29.46+1.72</f>
        <v>31.18</v>
      </c>
      <c r="D106" s="26">
        <v>56.19</v>
      </c>
      <c r="E106" s="36">
        <v>56.8</v>
      </c>
      <c r="F106" s="26">
        <f t="shared" si="10"/>
        <v>13.064</v>
      </c>
      <c r="G106" s="26">
        <f t="shared" si="11"/>
        <v>13.064</v>
      </c>
      <c r="H106" s="26">
        <f t="shared" si="12"/>
        <v>16.471999999999998</v>
      </c>
      <c r="I106" s="26">
        <f t="shared" si="13"/>
        <v>14.2</v>
      </c>
      <c r="J106" s="33"/>
    </row>
    <row r="107" spans="1:10" x14ac:dyDescent="0.25">
      <c r="A107" s="39" t="s">
        <v>65</v>
      </c>
      <c r="B107" s="35">
        <v>1313</v>
      </c>
      <c r="C107" s="228">
        <v>1.82</v>
      </c>
      <c r="D107" s="26">
        <v>17.88</v>
      </c>
      <c r="E107" s="36">
        <v>3.09</v>
      </c>
      <c r="F107" s="26">
        <f t="shared" si="10"/>
        <v>0.7107</v>
      </c>
      <c r="G107" s="26">
        <f t="shared" si="11"/>
        <v>0.7107</v>
      </c>
      <c r="H107" s="26">
        <f t="shared" si="12"/>
        <v>0.8960999999999999</v>
      </c>
      <c r="I107" s="26">
        <f t="shared" si="13"/>
        <v>0.77249999999999996</v>
      </c>
      <c r="J107" s="33"/>
    </row>
    <row r="108" spans="1:10" x14ac:dyDescent="0.25">
      <c r="A108" s="39" t="s">
        <v>66</v>
      </c>
      <c r="B108" s="35">
        <v>1314</v>
      </c>
      <c r="C108" s="228">
        <f>3.21+5.22+1.72</f>
        <v>10.15</v>
      </c>
      <c r="D108" s="26">
        <f t="shared" si="14"/>
        <v>13.366535000000001</v>
      </c>
      <c r="E108" s="36">
        <v>13.8</v>
      </c>
      <c r="F108" s="26">
        <f t="shared" si="10"/>
        <v>3.1740000000000004</v>
      </c>
      <c r="G108" s="26">
        <f t="shared" si="11"/>
        <v>3.1740000000000004</v>
      </c>
      <c r="H108" s="26">
        <f t="shared" si="12"/>
        <v>4.0019999999999998</v>
      </c>
      <c r="I108" s="26">
        <f t="shared" si="13"/>
        <v>3.45</v>
      </c>
      <c r="J108" s="33"/>
    </row>
    <row r="109" spans="1:10" x14ac:dyDescent="0.25">
      <c r="A109" s="39" t="s">
        <v>67</v>
      </c>
      <c r="B109" s="35">
        <v>1315</v>
      </c>
      <c r="C109" s="228">
        <f>3.05+18.08+5.6</f>
        <v>26.729999999999997</v>
      </c>
      <c r="D109" s="26">
        <v>31.92</v>
      </c>
      <c r="E109" s="36">
        <v>32.11</v>
      </c>
      <c r="F109" s="26">
        <f t="shared" si="10"/>
        <v>7.3853</v>
      </c>
      <c r="G109" s="26">
        <f t="shared" si="11"/>
        <v>7.3853</v>
      </c>
      <c r="H109" s="26">
        <f t="shared" si="12"/>
        <v>9.3118999999999996</v>
      </c>
      <c r="I109" s="26">
        <f t="shared" si="13"/>
        <v>8.0274999999999999</v>
      </c>
      <c r="J109" s="33"/>
    </row>
    <row r="110" spans="1:10" x14ac:dyDescent="0.25">
      <c r="A110" s="39" t="s">
        <v>417</v>
      </c>
      <c r="B110" s="35">
        <v>1316</v>
      </c>
      <c r="C110" s="228">
        <v>0</v>
      </c>
      <c r="D110" s="26">
        <f t="shared" si="14"/>
        <v>0</v>
      </c>
      <c r="E110" s="36">
        <v>0</v>
      </c>
      <c r="F110" s="26">
        <f t="shared" si="10"/>
        <v>0</v>
      </c>
      <c r="G110" s="26">
        <f t="shared" si="11"/>
        <v>0</v>
      </c>
      <c r="H110" s="26">
        <f t="shared" si="12"/>
        <v>0</v>
      </c>
      <c r="I110" s="26">
        <f t="shared" si="13"/>
        <v>0</v>
      </c>
      <c r="J110" s="33" t="s">
        <v>264</v>
      </c>
    </row>
    <row r="111" spans="1:10" x14ac:dyDescent="0.25">
      <c r="A111" s="36" t="s">
        <v>55</v>
      </c>
      <c r="B111" s="33">
        <v>1320</v>
      </c>
      <c r="C111" s="274">
        <v>6059.78</v>
      </c>
      <c r="D111" s="26">
        <v>6840.72</v>
      </c>
      <c r="E111" s="26">
        <v>7010.46</v>
      </c>
      <c r="F111" s="26">
        <f t="shared" si="10"/>
        <v>1612.4058</v>
      </c>
      <c r="G111" s="26">
        <f t="shared" si="11"/>
        <v>1612.4058</v>
      </c>
      <c r="H111" s="26">
        <f t="shared" si="12"/>
        <v>2033.0333999999998</v>
      </c>
      <c r="I111" s="26">
        <f t="shared" si="13"/>
        <v>1752.615</v>
      </c>
      <c r="J111" s="33"/>
    </row>
    <row r="112" spans="1:10" x14ac:dyDescent="0.25">
      <c r="A112" s="36" t="s">
        <v>56</v>
      </c>
      <c r="B112" s="33">
        <v>1330</v>
      </c>
      <c r="C112" s="274">
        <v>1330.78</v>
      </c>
      <c r="D112" s="26">
        <v>1506.1</v>
      </c>
      <c r="E112" s="26">
        <v>1542.3</v>
      </c>
      <c r="F112" s="26">
        <f t="shared" si="10"/>
        <v>354.72899999999998</v>
      </c>
      <c r="G112" s="26">
        <f t="shared" si="11"/>
        <v>354.72899999999998</v>
      </c>
      <c r="H112" s="26">
        <f t="shared" si="12"/>
        <v>447.26699999999994</v>
      </c>
      <c r="I112" s="26">
        <f t="shared" si="13"/>
        <v>385.57499999999999</v>
      </c>
      <c r="J112" s="33"/>
    </row>
    <row r="113" spans="1:10" x14ac:dyDescent="0.25">
      <c r="A113" s="40" t="s">
        <v>68</v>
      </c>
      <c r="B113" s="33">
        <v>1350</v>
      </c>
      <c r="C113" s="231">
        <v>70</v>
      </c>
      <c r="D113" s="26">
        <v>98.18</v>
      </c>
      <c r="E113" s="26">
        <v>86.95</v>
      </c>
      <c r="F113" s="26">
        <f t="shared" si="10"/>
        <v>19.9985</v>
      </c>
      <c r="G113" s="26">
        <f t="shared" si="11"/>
        <v>19.9985</v>
      </c>
      <c r="H113" s="26">
        <f t="shared" si="12"/>
        <v>25.215499999999999</v>
      </c>
      <c r="I113" s="26">
        <f t="shared" si="13"/>
        <v>21.737500000000001</v>
      </c>
      <c r="J113" s="33"/>
    </row>
    <row r="114" spans="1:10" x14ac:dyDescent="0.25">
      <c r="A114" s="40" t="s">
        <v>69</v>
      </c>
      <c r="B114" s="33">
        <v>1360</v>
      </c>
      <c r="C114" s="231">
        <f>81.53+0.64+5.76+1.2</f>
        <v>89.13000000000001</v>
      </c>
      <c r="D114" s="26">
        <v>185.3</v>
      </c>
      <c r="E114" s="26">
        <v>95.2</v>
      </c>
      <c r="F114" s="26">
        <f t="shared" si="10"/>
        <v>21.896000000000001</v>
      </c>
      <c r="G114" s="26">
        <f t="shared" si="11"/>
        <v>21.896000000000001</v>
      </c>
      <c r="H114" s="26">
        <f t="shared" si="12"/>
        <v>27.608000000000001</v>
      </c>
      <c r="I114" s="26">
        <f t="shared" si="13"/>
        <v>23.8</v>
      </c>
      <c r="J114" s="33"/>
    </row>
    <row r="115" spans="1:10" x14ac:dyDescent="0.25">
      <c r="A115" s="36" t="s">
        <v>70</v>
      </c>
      <c r="B115" s="33">
        <v>1370</v>
      </c>
      <c r="C115" s="231">
        <v>45</v>
      </c>
      <c r="D115" s="26">
        <v>43.64</v>
      </c>
      <c r="E115" s="43">
        <v>28.63</v>
      </c>
      <c r="F115" s="26">
        <f t="shared" si="10"/>
        <v>6.5849000000000002</v>
      </c>
      <c r="G115" s="26">
        <f t="shared" si="11"/>
        <v>6.5849000000000002</v>
      </c>
      <c r="H115" s="26">
        <f t="shared" si="12"/>
        <v>8.3026999999999997</v>
      </c>
      <c r="I115" s="26">
        <f t="shared" si="13"/>
        <v>7.1574999999999998</v>
      </c>
      <c r="J115" s="33"/>
    </row>
    <row r="116" spans="1:10" x14ac:dyDescent="0.25">
      <c r="A116" s="40" t="s">
        <v>541</v>
      </c>
      <c r="B116" s="33">
        <v>1400</v>
      </c>
      <c r="C116" s="231">
        <v>16.100000000000001</v>
      </c>
      <c r="D116" s="26">
        <f t="shared" si="14"/>
        <v>21.202090000000002</v>
      </c>
      <c r="E116" s="36">
        <v>0</v>
      </c>
      <c r="F116" s="26">
        <f t="shared" si="10"/>
        <v>0</v>
      </c>
      <c r="G116" s="26">
        <f t="shared" si="11"/>
        <v>0</v>
      </c>
      <c r="H116" s="26">
        <f t="shared" si="12"/>
        <v>0</v>
      </c>
      <c r="I116" s="26">
        <f t="shared" si="13"/>
        <v>0</v>
      </c>
      <c r="J116" s="33"/>
    </row>
    <row r="117" spans="1:10" ht="14.25" customHeight="1" x14ac:dyDescent="0.25">
      <c r="A117" s="213" t="s">
        <v>72</v>
      </c>
      <c r="B117" s="33">
        <v>1420</v>
      </c>
      <c r="C117" s="231">
        <f>1.28+2.76</f>
        <v>4.04</v>
      </c>
      <c r="D117" s="26">
        <v>24.87</v>
      </c>
      <c r="E117" s="36">
        <v>21.22</v>
      </c>
      <c r="F117" s="26">
        <f t="shared" si="10"/>
        <v>4.8806000000000003</v>
      </c>
      <c r="G117" s="26">
        <f t="shared" si="11"/>
        <v>4.8806000000000003</v>
      </c>
      <c r="H117" s="26">
        <f t="shared" si="12"/>
        <v>6.1537999999999995</v>
      </c>
      <c r="I117" s="26">
        <f t="shared" si="13"/>
        <v>5.3049999999999997</v>
      </c>
      <c r="J117" s="33"/>
    </row>
    <row r="118" spans="1:10" x14ac:dyDescent="0.25">
      <c r="A118" s="36" t="s">
        <v>73</v>
      </c>
      <c r="B118" s="33">
        <v>1440</v>
      </c>
      <c r="C118" s="231">
        <f>5.28+26.19</f>
        <v>31.470000000000002</v>
      </c>
      <c r="D118" s="26">
        <f t="shared" si="14"/>
        <v>41.442843000000003</v>
      </c>
      <c r="E118" s="36">
        <v>41.4</v>
      </c>
      <c r="F118" s="26">
        <f t="shared" si="10"/>
        <v>9.5220000000000002</v>
      </c>
      <c r="G118" s="26">
        <f t="shared" si="11"/>
        <v>9.5220000000000002</v>
      </c>
      <c r="H118" s="26">
        <f t="shared" si="12"/>
        <v>12.005999999999998</v>
      </c>
      <c r="I118" s="26">
        <f t="shared" si="13"/>
        <v>10.35</v>
      </c>
      <c r="J118" s="33"/>
    </row>
    <row r="119" spans="1:10" x14ac:dyDescent="0.25">
      <c r="A119" s="36" t="s">
        <v>542</v>
      </c>
      <c r="B119" s="35" t="s">
        <v>358</v>
      </c>
      <c r="C119" s="228">
        <f>3+41.21</f>
        <v>44.21</v>
      </c>
      <c r="D119" s="26">
        <v>15.21</v>
      </c>
      <c r="E119" s="36">
        <v>15.4</v>
      </c>
      <c r="F119" s="26">
        <f t="shared" si="10"/>
        <v>3.5420000000000003</v>
      </c>
      <c r="G119" s="26">
        <f t="shared" si="11"/>
        <v>3.5420000000000003</v>
      </c>
      <c r="H119" s="26">
        <f t="shared" si="12"/>
        <v>4.4660000000000002</v>
      </c>
      <c r="I119" s="26">
        <f t="shared" si="13"/>
        <v>3.85</v>
      </c>
      <c r="J119" s="33"/>
    </row>
    <row r="120" spans="1:10" x14ac:dyDescent="0.25">
      <c r="A120" s="36" t="s">
        <v>59</v>
      </c>
      <c r="B120" s="33">
        <v>1450</v>
      </c>
      <c r="C120" s="231">
        <v>61.43</v>
      </c>
      <c r="D120" s="26">
        <v>61.19</v>
      </c>
      <c r="E120" s="36">
        <v>62.5</v>
      </c>
      <c r="F120" s="26">
        <f t="shared" si="10"/>
        <v>14.375</v>
      </c>
      <c r="G120" s="26">
        <f t="shared" si="11"/>
        <v>14.375</v>
      </c>
      <c r="H120" s="26">
        <f t="shared" si="12"/>
        <v>18.125</v>
      </c>
      <c r="I120" s="26">
        <f t="shared" si="13"/>
        <v>15.625</v>
      </c>
      <c r="J120" s="33"/>
    </row>
    <row r="121" spans="1:10" x14ac:dyDescent="0.25">
      <c r="A121" s="36" t="s">
        <v>543</v>
      </c>
      <c r="B121" s="33">
        <v>1451</v>
      </c>
      <c r="C121" s="231">
        <v>9.64</v>
      </c>
      <c r="D121" s="26">
        <v>6.95</v>
      </c>
      <c r="E121" s="36">
        <v>8.9</v>
      </c>
      <c r="F121" s="26">
        <f t="shared" si="10"/>
        <v>2.0470000000000002</v>
      </c>
      <c r="G121" s="26">
        <f t="shared" si="11"/>
        <v>2.0470000000000002</v>
      </c>
      <c r="H121" s="26">
        <f t="shared" si="12"/>
        <v>2.581</v>
      </c>
      <c r="I121" s="26">
        <f t="shared" si="13"/>
        <v>2.2250000000000001</v>
      </c>
      <c r="J121" s="33"/>
    </row>
    <row r="122" spans="1:10" x14ac:dyDescent="0.25">
      <c r="A122" s="36" t="s">
        <v>544</v>
      </c>
      <c r="B122" s="33">
        <v>1452</v>
      </c>
      <c r="C122" s="231">
        <v>14.65</v>
      </c>
      <c r="D122" s="26">
        <v>16.05</v>
      </c>
      <c r="E122" s="36">
        <v>17.2</v>
      </c>
      <c r="F122" s="26">
        <f t="shared" si="10"/>
        <v>3.956</v>
      </c>
      <c r="G122" s="26">
        <f t="shared" si="11"/>
        <v>3.956</v>
      </c>
      <c r="H122" s="26">
        <f t="shared" si="12"/>
        <v>4.9879999999999995</v>
      </c>
      <c r="I122" s="26">
        <f t="shared" si="13"/>
        <v>4.3</v>
      </c>
      <c r="J122" s="33"/>
    </row>
    <row r="123" spans="1:10" x14ac:dyDescent="0.25">
      <c r="A123" s="36" t="s">
        <v>545</v>
      </c>
      <c r="B123" s="35">
        <v>1453</v>
      </c>
      <c r="C123" s="228">
        <v>6.06</v>
      </c>
      <c r="D123" s="26">
        <v>11.41</v>
      </c>
      <c r="E123" s="36">
        <v>11.7</v>
      </c>
      <c r="F123" s="26">
        <f t="shared" si="10"/>
        <v>2.6909999999999998</v>
      </c>
      <c r="G123" s="26">
        <f t="shared" si="11"/>
        <v>2.6909999999999998</v>
      </c>
      <c r="H123" s="26">
        <f t="shared" si="12"/>
        <v>3.3929999999999993</v>
      </c>
      <c r="I123" s="26">
        <f t="shared" si="13"/>
        <v>2.9249999999999998</v>
      </c>
      <c r="J123" s="33"/>
    </row>
    <row r="124" spans="1:10" x14ac:dyDescent="0.25">
      <c r="A124" s="45" t="s">
        <v>75</v>
      </c>
      <c r="B124" s="44">
        <v>1500</v>
      </c>
      <c r="C124" s="234">
        <f>SUM(C125:C129)</f>
        <v>3035.5600000000004</v>
      </c>
      <c r="D124" s="234">
        <f>SUM(D125:D129)</f>
        <v>3745.2799999999997</v>
      </c>
      <c r="E124" s="43">
        <f>E125+E126+E127+E128+E129</f>
        <v>5141.22</v>
      </c>
      <c r="F124" s="26">
        <f t="shared" si="10"/>
        <v>1182.4806000000001</v>
      </c>
      <c r="G124" s="26">
        <f t="shared" si="11"/>
        <v>1182.4806000000001</v>
      </c>
      <c r="H124" s="26">
        <f t="shared" si="12"/>
        <v>1490.9538</v>
      </c>
      <c r="I124" s="26">
        <f t="shared" si="13"/>
        <v>1285.3050000000001</v>
      </c>
      <c r="J124" s="41" t="s">
        <v>76</v>
      </c>
    </row>
    <row r="125" spans="1:10" x14ac:dyDescent="0.25">
      <c r="A125" s="40" t="s">
        <v>77</v>
      </c>
      <c r="B125" s="33">
        <v>1510</v>
      </c>
      <c r="C125" s="231">
        <v>69.38</v>
      </c>
      <c r="D125" s="262">
        <v>62.93</v>
      </c>
      <c r="E125" s="36">
        <v>65.8</v>
      </c>
      <c r="F125" s="262">
        <f t="shared" si="10"/>
        <v>15.134</v>
      </c>
      <c r="G125" s="262">
        <f t="shared" si="11"/>
        <v>15.134</v>
      </c>
      <c r="H125" s="262">
        <f t="shared" si="12"/>
        <v>19.081999999999997</v>
      </c>
      <c r="I125" s="262">
        <f t="shared" si="13"/>
        <v>16.45</v>
      </c>
      <c r="J125" s="33"/>
    </row>
    <row r="126" spans="1:10" x14ac:dyDescent="0.25">
      <c r="A126" s="40" t="s">
        <v>55</v>
      </c>
      <c r="B126" s="33">
        <v>1520</v>
      </c>
      <c r="C126" s="231">
        <v>2047.44</v>
      </c>
      <c r="D126" s="262">
        <v>2588.2399999999998</v>
      </c>
      <c r="E126" s="262">
        <v>3712.62</v>
      </c>
      <c r="F126" s="262">
        <f t="shared" si="10"/>
        <v>853.90260000000001</v>
      </c>
      <c r="G126" s="262">
        <f t="shared" si="11"/>
        <v>853.90260000000001</v>
      </c>
      <c r="H126" s="262">
        <f t="shared" si="12"/>
        <v>1076.6597999999999</v>
      </c>
      <c r="I126" s="262">
        <f t="shared" si="13"/>
        <v>928.15499999999997</v>
      </c>
      <c r="J126" s="33"/>
    </row>
    <row r="127" spans="1:10" x14ac:dyDescent="0.25">
      <c r="A127" s="40" t="s">
        <v>56</v>
      </c>
      <c r="B127" s="33">
        <v>1530</v>
      </c>
      <c r="C127" s="231">
        <v>450.44</v>
      </c>
      <c r="D127" s="262">
        <v>569.41</v>
      </c>
      <c r="E127" s="262">
        <v>816.88</v>
      </c>
      <c r="F127" s="262">
        <f t="shared" si="10"/>
        <v>187.88240000000002</v>
      </c>
      <c r="G127" s="262">
        <f t="shared" si="11"/>
        <v>187.88240000000002</v>
      </c>
      <c r="H127" s="262">
        <f t="shared" si="12"/>
        <v>236.89519999999999</v>
      </c>
      <c r="I127" s="262">
        <f t="shared" si="13"/>
        <v>204.22</v>
      </c>
      <c r="J127" s="33"/>
    </row>
    <row r="128" spans="1:10" x14ac:dyDescent="0.25">
      <c r="A128" s="40" t="s">
        <v>59</v>
      </c>
      <c r="B128" s="33">
        <v>1540</v>
      </c>
      <c r="C128" s="231">
        <v>62.05</v>
      </c>
      <c r="D128" s="262">
        <v>59.32</v>
      </c>
      <c r="E128" s="36">
        <v>78.5</v>
      </c>
      <c r="F128" s="262">
        <f t="shared" si="10"/>
        <v>18.055</v>
      </c>
      <c r="G128" s="262">
        <f t="shared" si="11"/>
        <v>18.055</v>
      </c>
      <c r="H128" s="262">
        <f t="shared" si="12"/>
        <v>22.764999999999997</v>
      </c>
      <c r="I128" s="262">
        <f t="shared" si="13"/>
        <v>19.625</v>
      </c>
      <c r="J128" s="33"/>
    </row>
    <row r="129" spans="1:10" ht="39" x14ac:dyDescent="0.25">
      <c r="A129" s="40" t="s">
        <v>421</v>
      </c>
      <c r="B129" s="33">
        <v>1550</v>
      </c>
      <c r="C129" s="231">
        <v>406.25</v>
      </c>
      <c r="D129" s="262">
        <v>465.38</v>
      </c>
      <c r="E129" s="36">
        <v>467.42</v>
      </c>
      <c r="F129" s="262">
        <f t="shared" si="10"/>
        <v>107.50660000000001</v>
      </c>
      <c r="G129" s="262">
        <f t="shared" si="11"/>
        <v>107.50660000000001</v>
      </c>
      <c r="H129" s="262">
        <f t="shared" si="12"/>
        <v>135.55179999999999</v>
      </c>
      <c r="I129" s="262">
        <f t="shared" si="13"/>
        <v>116.855</v>
      </c>
      <c r="J129" s="33" t="s">
        <v>79</v>
      </c>
    </row>
    <row r="130" spans="1:10" ht="25.5" x14ac:dyDescent="0.25">
      <c r="A130" s="23" t="s">
        <v>422</v>
      </c>
      <c r="B130" s="46">
        <v>1600</v>
      </c>
      <c r="C130" s="235">
        <f>SUM(C131:C140)</f>
        <v>5312.39</v>
      </c>
      <c r="D130" s="235">
        <f t="shared" ref="D130:I130" si="17">SUM(D131:D140)</f>
        <v>3190.91</v>
      </c>
      <c r="E130" s="235">
        <f t="shared" si="17"/>
        <v>0</v>
      </c>
      <c r="F130" s="235">
        <f t="shared" si="17"/>
        <v>0</v>
      </c>
      <c r="G130" s="235">
        <f t="shared" si="17"/>
        <v>0</v>
      </c>
      <c r="H130" s="235">
        <f t="shared" si="17"/>
        <v>0</v>
      </c>
      <c r="I130" s="235">
        <f t="shared" si="17"/>
        <v>0</v>
      </c>
      <c r="J130" s="40"/>
    </row>
    <row r="131" spans="1:10" x14ac:dyDescent="0.25">
      <c r="A131" s="23" t="s">
        <v>442</v>
      </c>
      <c r="B131" s="46">
        <v>1601</v>
      </c>
      <c r="C131" s="265">
        <f>2653.09+5.54</f>
        <v>2658.63</v>
      </c>
      <c r="D131" s="262">
        <v>298.39999999999998</v>
      </c>
      <c r="E131" s="262">
        <v>0</v>
      </c>
      <c r="F131" s="262">
        <f t="shared" si="10"/>
        <v>0</v>
      </c>
      <c r="G131" s="262">
        <f t="shared" si="11"/>
        <v>0</v>
      </c>
      <c r="H131" s="262">
        <f t="shared" si="12"/>
        <v>0</v>
      </c>
      <c r="I131" s="262">
        <f t="shared" si="13"/>
        <v>0</v>
      </c>
      <c r="J131" s="40"/>
    </row>
    <row r="132" spans="1:10" x14ac:dyDescent="0.25">
      <c r="A132" s="23" t="s">
        <v>546</v>
      </c>
      <c r="B132" s="46">
        <v>1602</v>
      </c>
      <c r="C132" s="265">
        <v>6.14</v>
      </c>
      <c r="D132" s="262">
        <v>0</v>
      </c>
      <c r="E132" s="262">
        <v>0</v>
      </c>
      <c r="F132" s="262">
        <f t="shared" si="10"/>
        <v>0</v>
      </c>
      <c r="G132" s="262">
        <f t="shared" si="11"/>
        <v>0</v>
      </c>
      <c r="H132" s="262">
        <f t="shared" si="12"/>
        <v>0</v>
      </c>
      <c r="I132" s="262">
        <f t="shared" si="13"/>
        <v>0</v>
      </c>
      <c r="J132" s="40"/>
    </row>
    <row r="133" spans="1:10" ht="25.5" x14ac:dyDescent="0.25">
      <c r="A133" s="23" t="s">
        <v>443</v>
      </c>
      <c r="B133" s="46">
        <v>1603</v>
      </c>
      <c r="C133" s="265">
        <v>1959.81</v>
      </c>
      <c r="D133" s="262">
        <v>2522.63</v>
      </c>
      <c r="E133" s="262">
        <v>0</v>
      </c>
      <c r="F133" s="262">
        <f t="shared" si="10"/>
        <v>0</v>
      </c>
      <c r="G133" s="262">
        <f t="shared" si="11"/>
        <v>0</v>
      </c>
      <c r="H133" s="262">
        <f t="shared" si="12"/>
        <v>0</v>
      </c>
      <c r="I133" s="262">
        <f t="shared" si="13"/>
        <v>0</v>
      </c>
      <c r="J133" s="40"/>
    </row>
    <row r="134" spans="1:10" x14ac:dyDescent="0.25">
      <c r="A134" s="23" t="s">
        <v>444</v>
      </c>
      <c r="B134" s="46">
        <v>1604</v>
      </c>
      <c r="C134" s="265">
        <v>430.06</v>
      </c>
      <c r="D134" s="262">
        <v>213.03</v>
      </c>
      <c r="E134" s="262">
        <v>0</v>
      </c>
      <c r="F134" s="262">
        <f t="shared" si="10"/>
        <v>0</v>
      </c>
      <c r="G134" s="262">
        <f t="shared" si="11"/>
        <v>0</v>
      </c>
      <c r="H134" s="262">
        <f t="shared" si="12"/>
        <v>0</v>
      </c>
      <c r="I134" s="262">
        <f t="shared" si="13"/>
        <v>0</v>
      </c>
      <c r="J134" s="40"/>
    </row>
    <row r="135" spans="1:10" x14ac:dyDescent="0.25">
      <c r="A135" s="40" t="s">
        <v>56</v>
      </c>
      <c r="B135" s="46">
        <v>1605</v>
      </c>
      <c r="C135" s="265">
        <v>212.14</v>
      </c>
      <c r="D135" s="262">
        <v>155.69999999999999</v>
      </c>
      <c r="E135" s="262">
        <v>0</v>
      </c>
      <c r="F135" s="262">
        <f t="shared" si="10"/>
        <v>0</v>
      </c>
      <c r="G135" s="262">
        <f t="shared" si="11"/>
        <v>0</v>
      </c>
      <c r="H135" s="262">
        <f t="shared" si="12"/>
        <v>0</v>
      </c>
      <c r="I135" s="262">
        <f t="shared" si="13"/>
        <v>0</v>
      </c>
      <c r="J135" s="40"/>
    </row>
    <row r="136" spans="1:10" x14ac:dyDescent="0.25">
      <c r="A136" s="40" t="s">
        <v>445</v>
      </c>
      <c r="B136" s="46">
        <v>1606</v>
      </c>
      <c r="C136" s="265">
        <v>0</v>
      </c>
      <c r="D136" s="262">
        <f t="shared" si="14"/>
        <v>0</v>
      </c>
      <c r="E136" s="262">
        <v>0</v>
      </c>
      <c r="F136" s="262">
        <f t="shared" si="10"/>
        <v>0</v>
      </c>
      <c r="G136" s="262">
        <f t="shared" si="11"/>
        <v>0</v>
      </c>
      <c r="H136" s="262">
        <f t="shared" si="12"/>
        <v>0</v>
      </c>
      <c r="I136" s="262">
        <f t="shared" si="13"/>
        <v>0</v>
      </c>
      <c r="J136" s="40"/>
    </row>
    <row r="137" spans="1:10" x14ac:dyDescent="0.25">
      <c r="A137" s="36" t="s">
        <v>446</v>
      </c>
      <c r="B137" s="46">
        <v>1607</v>
      </c>
      <c r="C137" s="265">
        <v>0.2</v>
      </c>
      <c r="D137" s="262"/>
      <c r="E137" s="262">
        <v>0</v>
      </c>
      <c r="F137" s="262">
        <f t="shared" si="10"/>
        <v>0</v>
      </c>
      <c r="G137" s="262">
        <f t="shared" si="11"/>
        <v>0</v>
      </c>
      <c r="H137" s="262">
        <f t="shared" si="12"/>
        <v>0</v>
      </c>
      <c r="I137" s="262">
        <f t="shared" si="13"/>
        <v>0</v>
      </c>
      <c r="J137" s="40"/>
    </row>
    <row r="138" spans="1:10" x14ac:dyDescent="0.25">
      <c r="A138" s="36" t="s">
        <v>128</v>
      </c>
      <c r="B138" s="46">
        <v>1608</v>
      </c>
      <c r="C138" s="265">
        <v>0</v>
      </c>
      <c r="D138" s="262">
        <v>0.45</v>
      </c>
      <c r="E138" s="262">
        <v>0</v>
      </c>
      <c r="F138" s="262">
        <f t="shared" ref="F138:F142" si="18">E138*23%</f>
        <v>0</v>
      </c>
      <c r="G138" s="262">
        <f t="shared" ref="G138:G142" si="19">E138*23%</f>
        <v>0</v>
      </c>
      <c r="H138" s="262">
        <f t="shared" ref="H138:H142" si="20">E138*29%</f>
        <v>0</v>
      </c>
      <c r="I138" s="262">
        <f t="shared" ref="I138:I142" si="21">E138*25%</f>
        <v>0</v>
      </c>
      <c r="J138" s="40"/>
    </row>
    <row r="139" spans="1:10" x14ac:dyDescent="0.25">
      <c r="A139" s="36" t="s">
        <v>547</v>
      </c>
      <c r="B139" s="46">
        <v>1609</v>
      </c>
      <c r="C139" s="265">
        <v>7.33</v>
      </c>
      <c r="D139" s="262">
        <v>0.7</v>
      </c>
      <c r="E139" s="262">
        <v>0</v>
      </c>
      <c r="F139" s="262">
        <f t="shared" si="18"/>
        <v>0</v>
      </c>
      <c r="G139" s="262">
        <f t="shared" si="19"/>
        <v>0</v>
      </c>
      <c r="H139" s="262">
        <f t="shared" si="20"/>
        <v>0</v>
      </c>
      <c r="I139" s="262">
        <f t="shared" si="21"/>
        <v>0</v>
      </c>
      <c r="J139" s="40"/>
    </row>
    <row r="140" spans="1:10" x14ac:dyDescent="0.25">
      <c r="A140" s="36" t="s">
        <v>524</v>
      </c>
      <c r="B140" s="46">
        <v>1610</v>
      </c>
      <c r="C140" s="265">
        <f>14+0.57+23.03+0.48</f>
        <v>38.08</v>
      </c>
      <c r="D140" s="262">
        <v>0</v>
      </c>
      <c r="E140" s="249"/>
      <c r="F140" s="262"/>
      <c r="G140" s="262"/>
      <c r="H140" s="262"/>
      <c r="I140" s="262"/>
      <c r="J140" s="40"/>
    </row>
    <row r="141" spans="1:10" ht="25.5" x14ac:dyDescent="0.25">
      <c r="A141" s="23" t="s">
        <v>80</v>
      </c>
      <c r="B141" s="46">
        <v>1700</v>
      </c>
      <c r="C141" s="235">
        <f>C142</f>
        <v>3553</v>
      </c>
      <c r="D141" s="235">
        <f>D142</f>
        <v>3636</v>
      </c>
      <c r="E141" s="235">
        <f t="shared" ref="E141" si="22">E142</f>
        <v>3824.3</v>
      </c>
      <c r="F141" s="26">
        <f t="shared" si="18"/>
        <v>879.58900000000006</v>
      </c>
      <c r="G141" s="26">
        <f t="shared" si="19"/>
        <v>879.58900000000006</v>
      </c>
      <c r="H141" s="26">
        <f t="shared" si="20"/>
        <v>1109.047</v>
      </c>
      <c r="I141" s="26">
        <f t="shared" si="21"/>
        <v>956.07500000000005</v>
      </c>
      <c r="J141" s="40"/>
    </row>
    <row r="142" spans="1:10" x14ac:dyDescent="0.25">
      <c r="A142" s="23" t="s">
        <v>491</v>
      </c>
      <c r="B142" s="46">
        <v>1701</v>
      </c>
      <c r="C142" s="265">
        <v>3553</v>
      </c>
      <c r="D142" s="262">
        <v>3636</v>
      </c>
      <c r="E142" s="262">
        <v>3824.3</v>
      </c>
      <c r="F142" s="262">
        <f t="shared" si="18"/>
        <v>879.58900000000006</v>
      </c>
      <c r="G142" s="262">
        <f t="shared" si="19"/>
        <v>879.58900000000006</v>
      </c>
      <c r="H142" s="262">
        <f t="shared" si="20"/>
        <v>1109.047</v>
      </c>
      <c r="I142" s="262">
        <f t="shared" si="21"/>
        <v>956.07500000000005</v>
      </c>
      <c r="J142" s="40"/>
    </row>
    <row r="143" spans="1:10" x14ac:dyDescent="0.25">
      <c r="A143" s="333"/>
      <c r="B143" s="334"/>
      <c r="C143" s="334"/>
      <c r="D143" s="334"/>
      <c r="E143" s="334"/>
      <c r="F143" s="334"/>
      <c r="G143" s="334"/>
      <c r="H143" s="334"/>
      <c r="I143" s="334"/>
      <c r="J143" s="335"/>
    </row>
    <row r="144" spans="1:10" x14ac:dyDescent="0.25">
      <c r="A144" s="40" t="s">
        <v>55</v>
      </c>
      <c r="B144" s="41">
        <v>2000</v>
      </c>
      <c r="C144" s="244">
        <f t="shared" ref="C144:I144" si="23">C89+C111+C126</f>
        <v>33780.269999999997</v>
      </c>
      <c r="D144" s="244">
        <f t="shared" si="23"/>
        <v>37568.149999999994</v>
      </c>
      <c r="E144" s="219">
        <f t="shared" si="23"/>
        <v>49758.090000000004</v>
      </c>
      <c r="F144" s="219">
        <f t="shared" si="23"/>
        <v>11444.360700000001</v>
      </c>
      <c r="G144" s="219">
        <f t="shared" si="23"/>
        <v>11444.360700000001</v>
      </c>
      <c r="H144" s="219">
        <f t="shared" si="23"/>
        <v>14429.846099999999</v>
      </c>
      <c r="I144" s="219">
        <f t="shared" si="23"/>
        <v>12439.522500000001</v>
      </c>
      <c r="J144" s="41" t="s">
        <v>402</v>
      </c>
    </row>
    <row r="145" spans="1:10" x14ac:dyDescent="0.25">
      <c r="A145" s="84" t="s">
        <v>83</v>
      </c>
      <c r="B145" s="121">
        <v>2001</v>
      </c>
      <c r="C145" s="250">
        <v>311.33999999999997</v>
      </c>
      <c r="D145" s="250">
        <v>311.33999999999997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1"/>
    </row>
    <row r="146" spans="1:10" x14ac:dyDescent="0.25">
      <c r="A146" s="40" t="s">
        <v>56</v>
      </c>
      <c r="B146" s="41">
        <v>2010</v>
      </c>
      <c r="C146" s="244">
        <f t="shared" ref="C146:I146" si="24">C90+C112+C127</f>
        <v>7258.74</v>
      </c>
      <c r="D146" s="244">
        <f t="shared" si="24"/>
        <v>7596.0499999999993</v>
      </c>
      <c r="E146" s="219">
        <f t="shared" si="24"/>
        <v>10946.882199999998</v>
      </c>
      <c r="F146" s="219">
        <f t="shared" si="24"/>
        <v>2517.7829059999999</v>
      </c>
      <c r="G146" s="219">
        <f t="shared" si="24"/>
        <v>2517.7829059999999</v>
      </c>
      <c r="H146" s="219">
        <f t="shared" si="24"/>
        <v>3174.5958379999997</v>
      </c>
      <c r="I146" s="219">
        <f t="shared" si="24"/>
        <v>2736.7205499999995</v>
      </c>
      <c r="J146" s="41" t="s">
        <v>403</v>
      </c>
    </row>
    <row r="147" spans="1:10" x14ac:dyDescent="0.25">
      <c r="A147" s="84" t="s">
        <v>83</v>
      </c>
      <c r="B147" s="122">
        <v>2011</v>
      </c>
      <c r="C147" s="251">
        <v>50.93</v>
      </c>
      <c r="D147" s="251">
        <v>50.93</v>
      </c>
      <c r="E147" s="128">
        <v>0</v>
      </c>
      <c r="F147" s="128">
        <v>0</v>
      </c>
      <c r="G147" s="128">
        <v>0</v>
      </c>
      <c r="H147" s="128">
        <v>0</v>
      </c>
      <c r="I147" s="128">
        <v>0</v>
      </c>
      <c r="J147" s="41"/>
    </row>
    <row r="148" spans="1:10" x14ac:dyDescent="0.25">
      <c r="A148" s="40" t="s">
        <v>77</v>
      </c>
      <c r="B148" s="123">
        <v>2020</v>
      </c>
      <c r="C148" s="252">
        <f t="shared" ref="C148:I148" si="25">C74+C105+C125</f>
        <v>3857.58</v>
      </c>
      <c r="D148" s="252">
        <f t="shared" si="25"/>
        <v>4882.71</v>
      </c>
      <c r="E148" s="294">
        <f t="shared" si="25"/>
        <v>9083.6899999999987</v>
      </c>
      <c r="F148" s="123">
        <f t="shared" si="25"/>
        <v>2089.2487000000001</v>
      </c>
      <c r="G148" s="123">
        <f t="shared" si="25"/>
        <v>2089.2487000000001</v>
      </c>
      <c r="H148" s="123">
        <f t="shared" si="25"/>
        <v>2634.2700999999993</v>
      </c>
      <c r="I148" s="123">
        <f t="shared" si="25"/>
        <v>2270.9224999999997</v>
      </c>
      <c r="J148" s="41" t="s">
        <v>404</v>
      </c>
    </row>
    <row r="149" spans="1:10" x14ac:dyDescent="0.25">
      <c r="A149" s="84" t="s">
        <v>83</v>
      </c>
      <c r="B149" s="122">
        <v>2021</v>
      </c>
      <c r="C149" s="256">
        <v>1094.3900000000001</v>
      </c>
      <c r="D149" s="256">
        <v>1094.3900000000001</v>
      </c>
      <c r="E149" s="137">
        <v>1094.3900000000001</v>
      </c>
      <c r="F149" s="137">
        <v>0</v>
      </c>
      <c r="G149" s="137">
        <v>0</v>
      </c>
      <c r="H149" s="137">
        <v>0</v>
      </c>
      <c r="I149" s="137">
        <v>0</v>
      </c>
      <c r="J149" s="41"/>
    </row>
    <row r="150" spans="1:10" ht="26.25" x14ac:dyDescent="0.25">
      <c r="A150" s="40" t="s">
        <v>71</v>
      </c>
      <c r="B150" s="123">
        <v>2030</v>
      </c>
      <c r="C150" s="257">
        <f>C81</f>
        <v>19512.150000000001</v>
      </c>
      <c r="D150" s="257">
        <f t="shared" ref="D150:I150" si="26">D81</f>
        <v>23938.07</v>
      </c>
      <c r="E150" s="257">
        <f>E82</f>
        <v>26387.85</v>
      </c>
      <c r="F150" s="257">
        <f t="shared" si="26"/>
        <v>6140.7354999999998</v>
      </c>
      <c r="G150" s="257">
        <f t="shared" si="26"/>
        <v>6140.7354999999998</v>
      </c>
      <c r="H150" s="257">
        <f t="shared" si="26"/>
        <v>7742.6664999999994</v>
      </c>
      <c r="I150" s="257">
        <f t="shared" si="26"/>
        <v>6674.7124999999996</v>
      </c>
      <c r="J150" s="41" t="s">
        <v>405</v>
      </c>
    </row>
    <row r="151" spans="1:10" x14ac:dyDescent="0.25">
      <c r="A151" s="84" t="s">
        <v>83</v>
      </c>
      <c r="B151" s="122">
        <v>2031</v>
      </c>
      <c r="C151" s="256">
        <v>15753.02</v>
      </c>
      <c r="D151" s="256">
        <v>15753.02</v>
      </c>
      <c r="E151" s="293">
        <v>20824</v>
      </c>
      <c r="F151" s="137">
        <v>6500.9</v>
      </c>
      <c r="G151" s="137">
        <v>6500.9</v>
      </c>
      <c r="H151" s="137">
        <v>6500.9</v>
      </c>
      <c r="I151" s="137">
        <v>6500.9</v>
      </c>
      <c r="J151" s="41"/>
    </row>
    <row r="152" spans="1:10" x14ac:dyDescent="0.25">
      <c r="A152" s="40" t="s">
        <v>59</v>
      </c>
      <c r="B152" s="123">
        <v>2040</v>
      </c>
      <c r="C152" s="252">
        <f>C95+C120+C128</f>
        <v>4324.1400000000003</v>
      </c>
      <c r="D152" s="252">
        <f>D95+D120+D128</f>
        <v>5652.3591539999989</v>
      </c>
      <c r="E152" s="123">
        <f>E95+E120+E128</f>
        <v>4423.5600000000004</v>
      </c>
      <c r="F152" s="123">
        <f>F96+F120+F128</f>
        <v>769.4144</v>
      </c>
      <c r="G152" s="123">
        <f>G96+G120+G128</f>
        <v>769.4144</v>
      </c>
      <c r="H152" s="123">
        <f>H96+H120+H128</f>
        <v>970.13119999999992</v>
      </c>
      <c r="I152" s="123">
        <f>I96+I120+I128</f>
        <v>836.31999999999994</v>
      </c>
      <c r="J152" s="41" t="s">
        <v>406</v>
      </c>
    </row>
    <row r="153" spans="1:10" ht="26.25" x14ac:dyDescent="0.25">
      <c r="A153" s="40" t="s">
        <v>84</v>
      </c>
      <c r="B153" s="123">
        <v>2050</v>
      </c>
      <c r="C153" s="252">
        <f>C96+C129+C130+C141</f>
        <v>12149.59</v>
      </c>
      <c r="D153" s="252">
        <f>D96+D129+D130+D141</f>
        <v>10437.539999999999</v>
      </c>
      <c r="E153" s="290">
        <f>E96+E129+E130+E141</f>
        <v>7496</v>
      </c>
      <c r="F153" s="290">
        <f t="shared" ref="F153:I153" si="27">F96+F129+F130+F141</f>
        <v>1724.0800000000002</v>
      </c>
      <c r="G153" s="290">
        <f t="shared" si="27"/>
        <v>1724.0800000000002</v>
      </c>
      <c r="H153" s="290">
        <f t="shared" si="27"/>
        <v>2173.84</v>
      </c>
      <c r="I153" s="290">
        <f t="shared" si="27"/>
        <v>1874</v>
      </c>
      <c r="J153" s="41" t="s">
        <v>407</v>
      </c>
    </row>
    <row r="154" spans="1:10" x14ac:dyDescent="0.25">
      <c r="A154" s="84" t="s">
        <v>83</v>
      </c>
      <c r="B154" s="122">
        <v>2051</v>
      </c>
      <c r="C154" s="251">
        <v>0</v>
      </c>
      <c r="D154" s="253">
        <v>0</v>
      </c>
      <c r="E154" s="253">
        <v>0</v>
      </c>
      <c r="F154" s="253">
        <v>0</v>
      </c>
      <c r="G154" s="253">
        <v>0</v>
      </c>
      <c r="H154" s="253">
        <v>0</v>
      </c>
      <c r="I154" s="253">
        <v>0</v>
      </c>
      <c r="J154" s="41"/>
    </row>
    <row r="155" spans="1:10" ht="26.25" x14ac:dyDescent="0.25">
      <c r="A155" s="45" t="s">
        <v>85</v>
      </c>
      <c r="B155" s="129">
        <v>2060</v>
      </c>
      <c r="C155" s="254">
        <f>C144+C146+C148+C150+C152+C153</f>
        <v>80882.47</v>
      </c>
      <c r="D155" s="254">
        <f>D144+D146+D148+D150+D152+D153</f>
        <v>90074.879153999995</v>
      </c>
      <c r="E155" s="254">
        <f t="shared" ref="E155:I155" si="28">E144+E146+E148+E150+E152+E153</f>
        <v>108096.0722</v>
      </c>
      <c r="F155" s="254">
        <f t="shared" si="28"/>
        <v>24685.622206000004</v>
      </c>
      <c r="G155" s="254">
        <f t="shared" si="28"/>
        <v>24685.622206000004</v>
      </c>
      <c r="H155" s="254">
        <f t="shared" si="28"/>
        <v>31125.349737999997</v>
      </c>
      <c r="I155" s="254">
        <f t="shared" si="28"/>
        <v>26832.198049999999</v>
      </c>
      <c r="J155" s="41"/>
    </row>
    <row r="156" spans="1:10" x14ac:dyDescent="0.25">
      <c r="A156" s="336" t="s">
        <v>86</v>
      </c>
      <c r="B156" s="337"/>
      <c r="C156" s="337"/>
      <c r="D156" s="337"/>
      <c r="E156" s="337"/>
      <c r="F156" s="337"/>
      <c r="G156" s="337"/>
      <c r="H156" s="337"/>
      <c r="I156" s="337"/>
      <c r="J156" s="338"/>
    </row>
    <row r="157" spans="1:10" ht="20.25" customHeight="1" x14ac:dyDescent="0.25">
      <c r="A157" s="117" t="s">
        <v>87</v>
      </c>
      <c r="B157" s="129">
        <v>3000</v>
      </c>
      <c r="C157" s="129">
        <v>0</v>
      </c>
      <c r="D157" s="129">
        <v>0</v>
      </c>
      <c r="E157" s="129">
        <v>0</v>
      </c>
      <c r="F157" s="129">
        <v>0</v>
      </c>
      <c r="G157" s="129">
        <v>0</v>
      </c>
      <c r="H157" s="129">
        <v>0</v>
      </c>
      <c r="I157" s="129">
        <v>0</v>
      </c>
      <c r="J157" s="41" t="s">
        <v>88</v>
      </c>
    </row>
    <row r="158" spans="1:10" ht="25.5" x14ac:dyDescent="0.25">
      <c r="A158" s="83" t="s">
        <v>89</v>
      </c>
      <c r="B158" s="122">
        <v>3001</v>
      </c>
      <c r="C158" s="129">
        <v>0</v>
      </c>
      <c r="D158" s="129">
        <v>0</v>
      </c>
      <c r="E158" s="129">
        <v>0</v>
      </c>
      <c r="F158" s="129">
        <v>0</v>
      </c>
      <c r="G158" s="129">
        <v>0</v>
      </c>
      <c r="H158" s="129">
        <v>0</v>
      </c>
      <c r="I158" s="129">
        <v>0</v>
      </c>
      <c r="J158" s="41"/>
    </row>
    <row r="159" spans="1:10" ht="25.5" x14ac:dyDescent="0.25">
      <c r="A159" s="83" t="s">
        <v>90</v>
      </c>
      <c r="B159" s="122">
        <v>3002</v>
      </c>
      <c r="C159" s="129">
        <v>0</v>
      </c>
      <c r="D159" s="129">
        <v>0</v>
      </c>
      <c r="E159" s="129">
        <v>0</v>
      </c>
      <c r="F159" s="129">
        <v>0</v>
      </c>
      <c r="G159" s="129">
        <v>0</v>
      </c>
      <c r="H159" s="129">
        <v>0</v>
      </c>
      <c r="I159" s="129">
        <v>0</v>
      </c>
      <c r="J159" s="41"/>
    </row>
    <row r="160" spans="1:10" ht="26.25" x14ac:dyDescent="0.25">
      <c r="A160" s="117" t="s">
        <v>91</v>
      </c>
      <c r="B160" s="129">
        <v>3100</v>
      </c>
      <c r="C160" s="129">
        <f>C161+C163+C165+C167+C169+C171</f>
        <v>0</v>
      </c>
      <c r="D160" s="129">
        <f>D161+D163+D165+D167+D169+D171</f>
        <v>0</v>
      </c>
      <c r="E160" s="129">
        <f>E161+E163+E165+E167+E169+E171</f>
        <v>0</v>
      </c>
      <c r="F160" s="129">
        <f t="shared" ref="F160:I160" si="29">F161+F163+F165+F167+F169+F171</f>
        <v>0</v>
      </c>
      <c r="G160" s="129">
        <f t="shared" si="29"/>
        <v>0</v>
      </c>
      <c r="H160" s="129">
        <f t="shared" si="29"/>
        <v>0</v>
      </c>
      <c r="I160" s="129">
        <f t="shared" si="29"/>
        <v>0</v>
      </c>
      <c r="J160" s="41" t="s">
        <v>92</v>
      </c>
    </row>
    <row r="161" spans="1:10" x14ac:dyDescent="0.25">
      <c r="A161" s="42" t="s">
        <v>93</v>
      </c>
      <c r="B161" s="41">
        <v>3110</v>
      </c>
      <c r="C161" s="41">
        <v>0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/>
    </row>
    <row r="162" spans="1:10" x14ac:dyDescent="0.25">
      <c r="A162" s="84" t="s">
        <v>83</v>
      </c>
      <c r="B162" s="121">
        <v>3111</v>
      </c>
      <c r="C162" s="41">
        <v>0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/>
    </row>
    <row r="163" spans="1:10" x14ac:dyDescent="0.25">
      <c r="A163" s="42" t="s">
        <v>94</v>
      </c>
      <c r="B163" s="41">
        <v>3120</v>
      </c>
      <c r="C163" s="41">
        <v>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/>
    </row>
    <row r="164" spans="1:10" x14ac:dyDescent="0.25">
      <c r="A164" s="84" t="s">
        <v>83</v>
      </c>
      <c r="B164" s="121">
        <v>3121</v>
      </c>
      <c r="C164" s="41">
        <v>0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/>
    </row>
    <row r="165" spans="1:10" ht="25.5" x14ac:dyDescent="0.25">
      <c r="A165" s="42" t="s">
        <v>95</v>
      </c>
      <c r="B165" s="41">
        <v>3130</v>
      </c>
      <c r="C165" s="41">
        <v>0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/>
    </row>
    <row r="166" spans="1:10" x14ac:dyDescent="0.25">
      <c r="A166" s="84" t="s">
        <v>83</v>
      </c>
      <c r="B166" s="121">
        <v>3131</v>
      </c>
      <c r="C166" s="41">
        <v>0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/>
    </row>
    <row r="167" spans="1:10" ht="25.5" x14ac:dyDescent="0.25">
      <c r="A167" s="42" t="s">
        <v>96</v>
      </c>
      <c r="B167" s="41">
        <v>3140</v>
      </c>
      <c r="C167" s="41">
        <v>0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/>
    </row>
    <row r="168" spans="1:10" x14ac:dyDescent="0.25">
      <c r="A168" s="84" t="s">
        <v>83</v>
      </c>
      <c r="B168" s="121">
        <v>3141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/>
    </row>
    <row r="169" spans="1:10" ht="38.25" x14ac:dyDescent="0.25">
      <c r="A169" s="42" t="s">
        <v>97</v>
      </c>
      <c r="B169" s="41">
        <v>3150</v>
      </c>
      <c r="C169" s="41">
        <v>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/>
    </row>
    <row r="170" spans="1:10" x14ac:dyDescent="0.25">
      <c r="A170" s="84" t="s">
        <v>83</v>
      </c>
      <c r="B170" s="121">
        <v>3151</v>
      </c>
      <c r="C170" s="41">
        <v>0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/>
    </row>
    <row r="171" spans="1:10" x14ac:dyDescent="0.25">
      <c r="A171" s="42" t="s">
        <v>98</v>
      </c>
      <c r="B171" s="41">
        <v>3160</v>
      </c>
      <c r="C171" s="41">
        <v>0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/>
    </row>
    <row r="172" spans="1:10" x14ac:dyDescent="0.25">
      <c r="A172" s="84" t="s">
        <v>83</v>
      </c>
      <c r="B172" s="121">
        <v>3161</v>
      </c>
      <c r="C172" s="41">
        <v>0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/>
    </row>
    <row r="173" spans="1:10" x14ac:dyDescent="0.25">
      <c r="A173" s="324" t="s">
        <v>99</v>
      </c>
      <c r="B173" s="325"/>
      <c r="C173" s="325"/>
      <c r="D173" s="325"/>
      <c r="E173" s="325"/>
      <c r="F173" s="325"/>
      <c r="G173" s="325"/>
      <c r="H173" s="325"/>
      <c r="I173" s="325"/>
      <c r="J173" s="326"/>
    </row>
    <row r="174" spans="1:10" ht="25.5" x14ac:dyDescent="0.25">
      <c r="A174" s="23" t="s">
        <v>100</v>
      </c>
      <c r="B174" s="44">
        <v>4000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33" t="s">
        <v>101</v>
      </c>
    </row>
    <row r="175" spans="1:10" x14ac:dyDescent="0.25">
      <c r="A175" s="48" t="s">
        <v>102</v>
      </c>
      <c r="B175" s="35">
        <v>4001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33"/>
    </row>
    <row r="176" spans="1:10" x14ac:dyDescent="0.25">
      <c r="A176" s="48" t="s">
        <v>103</v>
      </c>
      <c r="B176" s="35">
        <v>4002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33"/>
    </row>
    <row r="177" spans="1:15" x14ac:dyDescent="0.25">
      <c r="A177" s="48" t="s">
        <v>104</v>
      </c>
      <c r="B177" s="35">
        <v>4003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33"/>
    </row>
    <row r="178" spans="1:15" x14ac:dyDescent="0.25">
      <c r="A178" s="24" t="s">
        <v>105</v>
      </c>
      <c r="B178" s="33">
        <v>4010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33"/>
    </row>
    <row r="179" spans="1:15" ht="25.5" x14ac:dyDescent="0.25">
      <c r="A179" s="23" t="s">
        <v>106</v>
      </c>
      <c r="B179" s="44">
        <v>4020</v>
      </c>
      <c r="C179" s="44">
        <v>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33" t="s">
        <v>107</v>
      </c>
    </row>
    <row r="180" spans="1:15" x14ac:dyDescent="0.25">
      <c r="A180" s="48" t="s">
        <v>102</v>
      </c>
      <c r="B180" s="35">
        <v>4021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33"/>
    </row>
    <row r="181" spans="1:15" x14ac:dyDescent="0.25">
      <c r="A181" s="48" t="s">
        <v>103</v>
      </c>
      <c r="B181" s="35">
        <v>4022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33"/>
    </row>
    <row r="182" spans="1:15" x14ac:dyDescent="0.25">
      <c r="A182" s="48" t="s">
        <v>104</v>
      </c>
      <c r="B182" s="35">
        <v>4023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33"/>
    </row>
    <row r="183" spans="1:15" x14ac:dyDescent="0.25">
      <c r="A183" s="24" t="s">
        <v>108</v>
      </c>
      <c r="B183" s="33">
        <v>4030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33"/>
    </row>
    <row r="184" spans="1:15" x14ac:dyDescent="0.25">
      <c r="A184" s="324" t="s">
        <v>109</v>
      </c>
      <c r="B184" s="325"/>
      <c r="C184" s="325"/>
      <c r="D184" s="325"/>
      <c r="E184" s="325"/>
      <c r="F184" s="325"/>
      <c r="G184" s="325"/>
      <c r="H184" s="325"/>
      <c r="I184" s="325"/>
      <c r="J184" s="326"/>
    </row>
    <row r="185" spans="1:15" ht="25.5" x14ac:dyDescent="0.25">
      <c r="A185" s="49" t="s">
        <v>409</v>
      </c>
      <c r="B185" s="144">
        <v>5000</v>
      </c>
      <c r="C185" s="220">
        <f>C42+C49+C51+C65+C157+C174</f>
        <v>83722.509999999995</v>
      </c>
      <c r="D185" s="220">
        <f>D42+D49+D51+D65+D157+D174</f>
        <v>99729.97</v>
      </c>
      <c r="E185" s="220">
        <f>E42+E49+E51+E65+E157+E174</f>
        <v>125610.37999999999</v>
      </c>
      <c r="F185" s="130"/>
      <c r="G185" s="130"/>
      <c r="H185" s="130"/>
      <c r="I185" s="130"/>
      <c r="J185" s="41"/>
    </row>
    <row r="186" spans="1:15" ht="25.5" x14ac:dyDescent="0.25">
      <c r="A186" s="49" t="s">
        <v>269</v>
      </c>
      <c r="B186" s="144">
        <v>5010</v>
      </c>
      <c r="C186" s="220">
        <f>C73+C103+C124+C130+C141+C160+C179</f>
        <v>83818.679999999993</v>
      </c>
      <c r="D186" s="220">
        <f>D73+D103+D124+D130+D141+D160+D179</f>
        <v>93811.407545000009</v>
      </c>
      <c r="E186" s="227">
        <f>E73+E103+E124+E130+E141+E160+E179</f>
        <v>112489.67220000002</v>
      </c>
      <c r="F186" s="130"/>
      <c r="G186" s="130"/>
      <c r="H186" s="130"/>
      <c r="I186" s="130"/>
      <c r="J186" s="41"/>
    </row>
    <row r="187" spans="1:15" ht="19.5" customHeight="1" x14ac:dyDescent="0.25">
      <c r="A187" s="24" t="s">
        <v>410</v>
      </c>
      <c r="B187" s="41">
        <v>5020</v>
      </c>
      <c r="C187" s="219">
        <f>(C42+C51+C65)-C73</f>
        <v>19831.89</v>
      </c>
      <c r="D187" s="219">
        <f t="shared" ref="D187" si="30">(D42+D51+D65)-D73</f>
        <v>21566.320845999988</v>
      </c>
      <c r="E187" s="219">
        <f>(E42+E51+E65)-E73</f>
        <v>31257.727799999979</v>
      </c>
      <c r="F187" s="130"/>
      <c r="G187" s="130"/>
      <c r="H187" s="130"/>
      <c r="I187" s="130"/>
      <c r="J187" s="41" t="s">
        <v>424</v>
      </c>
      <c r="L187" s="127"/>
      <c r="M187" s="127"/>
      <c r="N187" s="127"/>
      <c r="O187" s="127"/>
    </row>
    <row r="188" spans="1:15" ht="19.5" customHeight="1" x14ac:dyDescent="0.25">
      <c r="A188" s="47" t="s">
        <v>111</v>
      </c>
      <c r="B188" s="121">
        <v>5021</v>
      </c>
      <c r="C188" s="219"/>
      <c r="D188" s="219"/>
      <c r="E188" s="246"/>
      <c r="F188" s="130"/>
      <c r="G188" s="130"/>
      <c r="H188" s="130"/>
      <c r="I188" s="130"/>
      <c r="J188" s="41"/>
    </row>
    <row r="189" spans="1:15" ht="19.5" customHeight="1" x14ac:dyDescent="0.25">
      <c r="A189" s="47" t="s">
        <v>112</v>
      </c>
      <c r="B189" s="121">
        <v>5022</v>
      </c>
      <c r="C189" s="41"/>
      <c r="D189" s="41"/>
      <c r="E189" s="219"/>
      <c r="F189" s="130"/>
      <c r="G189" s="130"/>
      <c r="H189" s="130"/>
      <c r="I189" s="130"/>
      <c r="J189" s="41"/>
    </row>
    <row r="190" spans="1:15" ht="29.25" customHeight="1" x14ac:dyDescent="0.25">
      <c r="A190" s="78" t="s">
        <v>267</v>
      </c>
      <c r="B190" s="41">
        <v>5030</v>
      </c>
      <c r="C190" s="246">
        <f>C187-C103-C124-C130</f>
        <v>3456.8299999999972</v>
      </c>
      <c r="D190" s="246">
        <f>D187-D103-D124-D130</f>
        <v>5435.4624549999862</v>
      </c>
      <c r="E190" s="246">
        <f>E187-E103-E124-E130-E141</f>
        <v>13120.707799999978</v>
      </c>
      <c r="F190" s="130"/>
      <c r="G190" s="130"/>
      <c r="H190" s="130"/>
      <c r="I190" s="130"/>
      <c r="J190" s="41" t="s">
        <v>552</v>
      </c>
      <c r="L190" s="127"/>
      <c r="M190" s="127"/>
      <c r="N190" s="127"/>
      <c r="O190" s="127"/>
    </row>
    <row r="191" spans="1:15" ht="17.25" customHeight="1" x14ac:dyDescent="0.25">
      <c r="A191" s="47" t="s">
        <v>111</v>
      </c>
      <c r="B191" s="121">
        <v>5031</v>
      </c>
      <c r="C191" s="41"/>
      <c r="D191" s="246"/>
      <c r="E191" s="246"/>
      <c r="F191" s="130"/>
      <c r="G191" s="130"/>
      <c r="H191" s="130"/>
      <c r="I191" s="130"/>
      <c r="J191" s="41"/>
    </row>
    <row r="192" spans="1:15" ht="18.75" customHeight="1" x14ac:dyDescent="0.25">
      <c r="A192" s="47" t="s">
        <v>112</v>
      </c>
      <c r="B192" s="121">
        <v>5032</v>
      </c>
      <c r="C192" s="41"/>
      <c r="D192" s="130"/>
      <c r="E192" s="130"/>
      <c r="F192" s="130"/>
      <c r="G192" s="130"/>
      <c r="H192" s="130"/>
      <c r="I192" s="130"/>
      <c r="J192" s="41"/>
    </row>
    <row r="193" spans="1:10" ht="26.25" customHeight="1" x14ac:dyDescent="0.25">
      <c r="A193" s="78" t="s">
        <v>268</v>
      </c>
      <c r="B193" s="41">
        <v>5040</v>
      </c>
      <c r="C193" s="219">
        <f>C185-C186</f>
        <v>-96.169999999998254</v>
      </c>
      <c r="D193" s="219">
        <f>D185-D186</f>
        <v>5918.562454999992</v>
      </c>
      <c r="E193" s="219">
        <f>E185-E186</f>
        <v>13120.707799999975</v>
      </c>
      <c r="F193" s="130"/>
      <c r="G193" s="130"/>
      <c r="H193" s="130"/>
      <c r="I193" s="130"/>
      <c r="J193" s="145" t="s">
        <v>408</v>
      </c>
    </row>
    <row r="194" spans="1:10" ht="21.75" customHeight="1" x14ac:dyDescent="0.25">
      <c r="A194" s="47" t="s">
        <v>111</v>
      </c>
      <c r="B194" s="121">
        <v>5041</v>
      </c>
      <c r="C194" s="41"/>
      <c r="D194" s="130"/>
      <c r="E194" s="130"/>
      <c r="F194" s="130"/>
      <c r="G194" s="130"/>
      <c r="H194" s="130"/>
      <c r="I194" s="130"/>
      <c r="J194" s="145"/>
    </row>
    <row r="195" spans="1:10" ht="20.25" customHeight="1" x14ac:dyDescent="0.25">
      <c r="A195" s="47" t="s">
        <v>112</v>
      </c>
      <c r="B195" s="121">
        <v>5042</v>
      </c>
      <c r="C195" s="41"/>
      <c r="D195" s="130"/>
      <c r="E195" s="130"/>
      <c r="F195" s="130"/>
      <c r="G195" s="130"/>
      <c r="H195" s="130"/>
      <c r="I195" s="130"/>
      <c r="J195" s="145"/>
    </row>
    <row r="196" spans="1:10" ht="20.25" customHeight="1" x14ac:dyDescent="0.25">
      <c r="A196" s="24" t="s">
        <v>411</v>
      </c>
      <c r="B196" s="41">
        <v>5050</v>
      </c>
      <c r="C196" s="219">
        <f>C193*18%</f>
        <v>-17.310599999999685</v>
      </c>
      <c r="D196" s="219">
        <f t="shared" ref="D196:E196" si="31">D193*18%</f>
        <v>1065.3412418999985</v>
      </c>
      <c r="E196" s="219">
        <f t="shared" si="31"/>
        <v>2361.7274039999952</v>
      </c>
      <c r="F196" s="130"/>
      <c r="G196" s="130"/>
      <c r="H196" s="130"/>
      <c r="I196" s="130"/>
      <c r="J196" s="145"/>
    </row>
    <row r="197" spans="1:10" ht="30" customHeight="1" x14ac:dyDescent="0.25">
      <c r="A197" s="23" t="s">
        <v>110</v>
      </c>
      <c r="B197" s="44">
        <v>5060</v>
      </c>
      <c r="C197" s="227">
        <f>C193-C196</f>
        <v>-78.859399999998573</v>
      </c>
      <c r="D197" s="227">
        <f t="shared" ref="D197:E197" si="32">D193-D196</f>
        <v>4853.2212130999933</v>
      </c>
      <c r="E197" s="227">
        <f t="shared" si="32"/>
        <v>10758.980395999979</v>
      </c>
      <c r="F197" s="62"/>
      <c r="G197" s="62"/>
      <c r="H197" s="62"/>
      <c r="I197" s="62"/>
      <c r="J197" s="143" t="s">
        <v>412</v>
      </c>
    </row>
    <row r="198" spans="1:10" ht="19.5" customHeight="1" x14ac:dyDescent="0.25">
      <c r="A198" s="24" t="s">
        <v>111</v>
      </c>
      <c r="B198" s="33">
        <v>5061</v>
      </c>
      <c r="C198" s="33"/>
      <c r="D198" s="33"/>
      <c r="E198" s="255"/>
      <c r="F198" s="62"/>
      <c r="G198" s="62"/>
      <c r="H198" s="62"/>
      <c r="I198" s="62"/>
      <c r="J198" s="33"/>
    </row>
    <row r="199" spans="1:10" x14ac:dyDescent="0.25">
      <c r="A199" s="24" t="s">
        <v>112</v>
      </c>
      <c r="B199" s="33">
        <v>5062</v>
      </c>
      <c r="C199" s="33"/>
      <c r="D199" s="62"/>
      <c r="E199" s="62"/>
      <c r="F199" s="62"/>
      <c r="G199" s="62"/>
      <c r="H199" s="62"/>
      <c r="I199" s="62"/>
      <c r="J199" s="33"/>
    </row>
    <row r="200" spans="1:10" x14ac:dyDescent="0.25">
      <c r="A200" s="324" t="s">
        <v>270</v>
      </c>
      <c r="B200" s="325"/>
      <c r="C200" s="325"/>
      <c r="D200" s="325"/>
      <c r="E200" s="325"/>
      <c r="F200" s="325"/>
      <c r="G200" s="325"/>
      <c r="H200" s="325"/>
      <c r="I200" s="325"/>
      <c r="J200" s="326"/>
    </row>
    <row r="201" spans="1:10" ht="25.5" x14ac:dyDescent="0.25">
      <c r="A201" s="24" t="s">
        <v>271</v>
      </c>
      <c r="B201" s="20">
        <v>6000</v>
      </c>
      <c r="C201" s="20"/>
      <c r="D201" s="20"/>
      <c r="E201" s="20"/>
      <c r="F201" s="20"/>
      <c r="G201" s="20"/>
      <c r="H201" s="20"/>
      <c r="I201" s="20"/>
      <c r="J201" s="20"/>
    </row>
    <row r="202" spans="1:10" ht="38.25" x14ac:dyDescent="0.25">
      <c r="A202" s="24" t="s">
        <v>272</v>
      </c>
      <c r="B202" s="20">
        <v>6010</v>
      </c>
      <c r="C202" s="20"/>
      <c r="D202" s="20"/>
      <c r="E202" s="20"/>
      <c r="F202" s="20"/>
      <c r="G202" s="20"/>
      <c r="H202" s="20"/>
      <c r="I202" s="20"/>
      <c r="J202" s="20"/>
    </row>
    <row r="203" spans="1:10" x14ac:dyDescent="0.25">
      <c r="A203" s="24" t="s">
        <v>273</v>
      </c>
      <c r="B203" s="20">
        <v>6020</v>
      </c>
      <c r="C203" s="20"/>
      <c r="D203" s="20"/>
      <c r="E203" s="20"/>
      <c r="F203" s="20"/>
      <c r="G203" s="20"/>
      <c r="H203" s="20"/>
      <c r="I203" s="20"/>
      <c r="J203" s="20"/>
    </row>
    <row r="204" spans="1:10" ht="25.5" x14ac:dyDescent="0.25">
      <c r="A204" s="47" t="s">
        <v>274</v>
      </c>
      <c r="B204" s="51">
        <v>6021</v>
      </c>
      <c r="C204" s="51"/>
      <c r="D204" s="20"/>
      <c r="E204" s="20"/>
      <c r="F204" s="20"/>
      <c r="G204" s="20"/>
      <c r="H204" s="20"/>
      <c r="I204" s="20"/>
      <c r="J204" s="20"/>
    </row>
    <row r="205" spans="1:10" x14ac:dyDescent="0.25">
      <c r="A205" s="24" t="s">
        <v>275</v>
      </c>
      <c r="B205" s="20">
        <v>6030</v>
      </c>
      <c r="C205" s="20"/>
      <c r="D205" s="20"/>
      <c r="E205" s="20"/>
      <c r="F205" s="20"/>
      <c r="G205" s="20"/>
      <c r="H205" s="20"/>
      <c r="I205" s="20"/>
      <c r="J205" s="20"/>
    </row>
    <row r="206" spans="1:10" x14ac:dyDescent="0.25">
      <c r="A206" s="24" t="s">
        <v>276</v>
      </c>
      <c r="B206" s="20">
        <v>6040</v>
      </c>
      <c r="C206" s="20"/>
      <c r="D206" s="20"/>
      <c r="E206" s="20"/>
      <c r="F206" s="20"/>
      <c r="G206" s="20"/>
      <c r="H206" s="20"/>
      <c r="I206" s="20"/>
      <c r="J206" s="20"/>
    </row>
    <row r="207" spans="1:10" ht="38.25" x14ac:dyDescent="0.25">
      <c r="A207" s="24" t="s">
        <v>277</v>
      </c>
      <c r="B207" s="20">
        <v>6050</v>
      </c>
      <c r="C207" s="20"/>
      <c r="D207" s="20"/>
      <c r="E207" s="20"/>
      <c r="F207" s="20"/>
      <c r="G207" s="20"/>
      <c r="H207" s="20"/>
      <c r="I207" s="20"/>
      <c r="J207" s="20" t="s">
        <v>279</v>
      </c>
    </row>
    <row r="208" spans="1:10" ht="38.25" x14ac:dyDescent="0.25">
      <c r="A208" s="24" t="s">
        <v>278</v>
      </c>
      <c r="B208" s="20">
        <v>6060</v>
      </c>
      <c r="C208" s="20"/>
      <c r="D208" s="20"/>
      <c r="E208" s="20"/>
      <c r="F208" s="20"/>
      <c r="G208" s="20"/>
      <c r="H208" s="20"/>
      <c r="I208" s="20"/>
      <c r="J208" s="20"/>
    </row>
    <row r="209" spans="1:10" x14ac:dyDescent="0.25">
      <c r="A209" s="324" t="s">
        <v>413</v>
      </c>
      <c r="B209" s="325"/>
      <c r="C209" s="325"/>
      <c r="D209" s="325"/>
      <c r="E209" s="325"/>
      <c r="F209" s="325"/>
      <c r="G209" s="325"/>
      <c r="H209" s="325"/>
      <c r="I209" s="325"/>
      <c r="J209" s="326"/>
    </row>
    <row r="210" spans="1:10" ht="25.5" x14ac:dyDescent="0.25">
      <c r="A210" s="23" t="s">
        <v>113</v>
      </c>
      <c r="B210" s="23"/>
      <c r="C210" s="23"/>
      <c r="D210" s="50"/>
      <c r="E210" s="22"/>
      <c r="F210" s="22" t="s">
        <v>114</v>
      </c>
      <c r="G210" s="22" t="s">
        <v>115</v>
      </c>
      <c r="H210" s="22" t="s">
        <v>116</v>
      </c>
      <c r="I210" s="22" t="s">
        <v>117</v>
      </c>
      <c r="J210" s="21"/>
    </row>
    <row r="211" spans="1:10" ht="76.5" x14ac:dyDescent="0.25">
      <c r="A211" s="42" t="s">
        <v>118</v>
      </c>
      <c r="B211" s="20">
        <v>7000</v>
      </c>
      <c r="C211" s="291">
        <f>C212+C213+C218+C219</f>
        <v>227.75</v>
      </c>
      <c r="D211" s="291">
        <f t="shared" ref="D211:I211" si="33">D212+D213+D218+D219</f>
        <v>227.75</v>
      </c>
      <c r="E211" s="291">
        <f t="shared" si="33"/>
        <v>227.75</v>
      </c>
      <c r="F211" s="291">
        <f t="shared" si="33"/>
        <v>227.75</v>
      </c>
      <c r="G211" s="291">
        <f t="shared" si="33"/>
        <v>227.75</v>
      </c>
      <c r="H211" s="291">
        <f t="shared" si="33"/>
        <v>227.75</v>
      </c>
      <c r="I211" s="291">
        <f t="shared" si="33"/>
        <v>227.75</v>
      </c>
      <c r="J211" s="21"/>
    </row>
    <row r="212" spans="1:10" x14ac:dyDescent="0.25">
      <c r="A212" s="83" t="s">
        <v>282</v>
      </c>
      <c r="B212" s="51">
        <v>7001</v>
      </c>
      <c r="C212" s="51">
        <v>1</v>
      </c>
      <c r="D212" s="51">
        <v>1</v>
      </c>
      <c r="E212" s="51">
        <v>1</v>
      </c>
      <c r="F212" s="51">
        <v>1</v>
      </c>
      <c r="G212" s="51">
        <v>1</v>
      </c>
      <c r="H212" s="51">
        <v>1</v>
      </c>
      <c r="I212" s="51">
        <v>1</v>
      </c>
      <c r="J212" s="52"/>
    </row>
    <row r="213" spans="1:10" ht="25.5" x14ac:dyDescent="0.25">
      <c r="A213" s="83" t="s">
        <v>281</v>
      </c>
      <c r="B213" s="51">
        <v>7002</v>
      </c>
      <c r="C213" s="51">
        <f>C214+C215+C216+C217</f>
        <v>75</v>
      </c>
      <c r="D213" s="51">
        <f t="shared" ref="D213:I213" si="34">D214+D215+D216+D217</f>
        <v>75</v>
      </c>
      <c r="E213" s="51">
        <f t="shared" si="34"/>
        <v>75</v>
      </c>
      <c r="F213" s="51">
        <f t="shared" si="34"/>
        <v>75</v>
      </c>
      <c r="G213" s="51">
        <f t="shared" si="34"/>
        <v>75</v>
      </c>
      <c r="H213" s="51">
        <f t="shared" si="34"/>
        <v>75</v>
      </c>
      <c r="I213" s="51">
        <f t="shared" si="34"/>
        <v>75</v>
      </c>
      <c r="J213" s="53"/>
    </row>
    <row r="214" spans="1:10" x14ac:dyDescent="0.25">
      <c r="A214" s="84" t="s">
        <v>284</v>
      </c>
      <c r="B214" s="51" t="s">
        <v>288</v>
      </c>
      <c r="C214" s="51">
        <v>14</v>
      </c>
      <c r="D214" s="51">
        <v>14</v>
      </c>
      <c r="E214" s="51">
        <v>14</v>
      </c>
      <c r="F214" s="51">
        <v>14</v>
      </c>
      <c r="G214" s="51">
        <v>14</v>
      </c>
      <c r="H214" s="51">
        <v>14</v>
      </c>
      <c r="I214" s="51">
        <v>14</v>
      </c>
      <c r="J214" s="53"/>
    </row>
    <row r="215" spans="1:10" x14ac:dyDescent="0.25">
      <c r="A215" s="84" t="s">
        <v>283</v>
      </c>
      <c r="B215" s="51" t="s">
        <v>289</v>
      </c>
      <c r="C215" s="51">
        <v>23</v>
      </c>
      <c r="D215" s="51">
        <v>23</v>
      </c>
      <c r="E215" s="51">
        <v>23</v>
      </c>
      <c r="F215" s="51">
        <v>23</v>
      </c>
      <c r="G215" s="51">
        <v>23</v>
      </c>
      <c r="H215" s="51">
        <v>23</v>
      </c>
      <c r="I215" s="51">
        <v>23</v>
      </c>
      <c r="J215" s="53"/>
    </row>
    <row r="216" spans="1:10" x14ac:dyDescent="0.25">
      <c r="A216" s="84" t="s">
        <v>285</v>
      </c>
      <c r="B216" s="51" t="s">
        <v>290</v>
      </c>
      <c r="C216" s="51">
        <v>11</v>
      </c>
      <c r="D216" s="51">
        <v>11</v>
      </c>
      <c r="E216" s="51">
        <v>11</v>
      </c>
      <c r="F216" s="51">
        <v>11</v>
      </c>
      <c r="G216" s="51">
        <v>11</v>
      </c>
      <c r="H216" s="51">
        <v>11</v>
      </c>
      <c r="I216" s="51">
        <v>11</v>
      </c>
      <c r="J216" s="53"/>
    </row>
    <row r="217" spans="1:10" x14ac:dyDescent="0.25">
      <c r="A217" s="84" t="s">
        <v>286</v>
      </c>
      <c r="B217" s="51" t="s">
        <v>291</v>
      </c>
      <c r="C217" s="51">
        <v>27</v>
      </c>
      <c r="D217" s="51">
        <v>27</v>
      </c>
      <c r="E217" s="51">
        <v>27</v>
      </c>
      <c r="F217" s="51">
        <v>27</v>
      </c>
      <c r="G217" s="51">
        <v>27</v>
      </c>
      <c r="H217" s="51">
        <v>27</v>
      </c>
      <c r="I217" s="51">
        <v>27</v>
      </c>
      <c r="J217" s="53"/>
    </row>
    <row r="218" spans="1:10" x14ac:dyDescent="0.25">
      <c r="A218" s="83" t="s">
        <v>280</v>
      </c>
      <c r="B218" s="51">
        <v>7003</v>
      </c>
      <c r="C218" s="51">
        <v>22</v>
      </c>
      <c r="D218" s="51">
        <v>22</v>
      </c>
      <c r="E218" s="51">
        <v>22</v>
      </c>
      <c r="F218" s="51">
        <v>22</v>
      </c>
      <c r="G218" s="51">
        <v>22</v>
      </c>
      <c r="H218" s="51">
        <v>22</v>
      </c>
      <c r="I218" s="51">
        <v>22</v>
      </c>
      <c r="J218" s="53"/>
    </row>
    <row r="219" spans="1:10" x14ac:dyDescent="0.25">
      <c r="A219" s="83" t="s">
        <v>287</v>
      </c>
      <c r="B219" s="51">
        <v>7004</v>
      </c>
      <c r="C219" s="292">
        <v>129.75</v>
      </c>
      <c r="D219" s="292">
        <v>129.75</v>
      </c>
      <c r="E219" s="292">
        <v>129.75</v>
      </c>
      <c r="F219" s="292">
        <v>129.75</v>
      </c>
      <c r="G219" s="292">
        <v>129.75</v>
      </c>
      <c r="H219" s="292">
        <v>129.75</v>
      </c>
      <c r="I219" s="292">
        <v>129.75</v>
      </c>
      <c r="J219" s="21"/>
    </row>
    <row r="220" spans="1:10" ht="25.5" x14ac:dyDescent="0.25">
      <c r="A220" s="42" t="s">
        <v>119</v>
      </c>
      <c r="B220" s="20">
        <v>7010</v>
      </c>
      <c r="C220" s="237">
        <f>C221+C222+C227+C228</f>
        <v>34607991</v>
      </c>
      <c r="D220" s="237">
        <f>D221+D222+D227+D228</f>
        <v>45494144.879999995</v>
      </c>
      <c r="E220" s="237">
        <f>E221+E222+E227+E228</f>
        <v>49758067.969999999</v>
      </c>
      <c r="F220" s="237">
        <f>F221+F222+F227+F228</f>
        <v>12439516.9925</v>
      </c>
      <c r="G220" s="237">
        <f t="shared" ref="G220:I220" si="35">G221+G222+G227+G228</f>
        <v>12439516.960000001</v>
      </c>
      <c r="H220" s="237">
        <f t="shared" si="35"/>
        <v>12439516.960000001</v>
      </c>
      <c r="I220" s="237">
        <f t="shared" si="35"/>
        <v>12439516.960000001</v>
      </c>
      <c r="J220" s="21"/>
    </row>
    <row r="221" spans="1:10" x14ac:dyDescent="0.25">
      <c r="A221" s="83" t="s">
        <v>282</v>
      </c>
      <c r="B221" s="51">
        <v>7011</v>
      </c>
      <c r="C221" s="239">
        <v>668304</v>
      </c>
      <c r="D221" s="238">
        <v>803683</v>
      </c>
      <c r="E221" s="237">
        <v>1034843.04</v>
      </c>
      <c r="F221" s="237">
        <f>E221/4</f>
        <v>258710.76</v>
      </c>
      <c r="G221" s="237">
        <f>E221/4</f>
        <v>258710.76</v>
      </c>
      <c r="H221" s="237">
        <f>E221/4</f>
        <v>258710.76</v>
      </c>
      <c r="I221" s="237">
        <f>E221/4</f>
        <v>258710.76</v>
      </c>
      <c r="J221" s="21"/>
    </row>
    <row r="222" spans="1:10" ht="25.5" x14ac:dyDescent="0.25">
      <c r="A222" s="83" t="s">
        <v>281</v>
      </c>
      <c r="B222" s="51">
        <v>7012</v>
      </c>
      <c r="C222" s="239">
        <f>C223+C224+C225+C226</f>
        <v>13172790</v>
      </c>
      <c r="D222" s="239">
        <f>D223+D224+D225+D226</f>
        <v>17697222.039999999</v>
      </c>
      <c r="E222" s="239">
        <f>E223+E224+E225+E226</f>
        <v>19355888.060000002</v>
      </c>
      <c r="F222" s="239">
        <f t="shared" ref="F222:I222" si="36">F223+F224+F225+F226</f>
        <v>4838972.0150000006</v>
      </c>
      <c r="G222" s="239">
        <f t="shared" si="36"/>
        <v>4838972</v>
      </c>
      <c r="H222" s="239">
        <f t="shared" si="36"/>
        <v>4838972</v>
      </c>
      <c r="I222" s="239">
        <f t="shared" si="36"/>
        <v>4838972</v>
      </c>
      <c r="J222" s="21"/>
    </row>
    <row r="223" spans="1:10" x14ac:dyDescent="0.25">
      <c r="A223" s="84" t="s">
        <v>284</v>
      </c>
      <c r="B223" s="51" t="s">
        <v>292</v>
      </c>
      <c r="C223" s="239">
        <v>1957176</v>
      </c>
      <c r="D223" s="238">
        <v>2729648.66</v>
      </c>
      <c r="E223" s="237">
        <v>2985484.02</v>
      </c>
      <c r="F223" s="240">
        <f t="shared" ref="F223:F228" si="37">E223/4</f>
        <v>746371.005</v>
      </c>
      <c r="G223" s="240">
        <v>746371.01</v>
      </c>
      <c r="H223" s="240">
        <v>746371.01</v>
      </c>
      <c r="I223" s="240">
        <v>746371.01</v>
      </c>
      <c r="J223" s="21"/>
    </row>
    <row r="224" spans="1:10" x14ac:dyDescent="0.25">
      <c r="A224" s="84" t="s">
        <v>283</v>
      </c>
      <c r="B224" s="51" t="s">
        <v>293</v>
      </c>
      <c r="C224" s="239">
        <v>4734336</v>
      </c>
      <c r="D224" s="238">
        <v>6369180.1600000001</v>
      </c>
      <c r="E224" s="237">
        <v>6966129.3799999999</v>
      </c>
      <c r="F224" s="240">
        <f t="shared" si="37"/>
        <v>1741532.345</v>
      </c>
      <c r="G224" s="240">
        <v>1741532.3</v>
      </c>
      <c r="H224" s="240">
        <v>1741532.3</v>
      </c>
      <c r="I224" s="240">
        <v>1741532.3</v>
      </c>
      <c r="J224" s="21"/>
    </row>
    <row r="225" spans="1:10" x14ac:dyDescent="0.25">
      <c r="A225" s="84" t="s">
        <v>285</v>
      </c>
      <c r="B225" s="51" t="s">
        <v>294</v>
      </c>
      <c r="C225" s="239">
        <v>2025918</v>
      </c>
      <c r="D225" s="238">
        <v>2684154.5</v>
      </c>
      <c r="E225" s="237">
        <v>2935725.95</v>
      </c>
      <c r="F225" s="240">
        <f t="shared" si="37"/>
        <v>733931.48750000005</v>
      </c>
      <c r="G225" s="240">
        <v>733931.49</v>
      </c>
      <c r="H225" s="240">
        <v>733931.49</v>
      </c>
      <c r="I225" s="240">
        <v>733931.49</v>
      </c>
      <c r="J225" s="21"/>
    </row>
    <row r="226" spans="1:10" x14ac:dyDescent="0.25">
      <c r="A226" s="84" t="s">
        <v>286</v>
      </c>
      <c r="B226" s="51" t="s">
        <v>295</v>
      </c>
      <c r="C226" s="239">
        <v>4455360</v>
      </c>
      <c r="D226" s="238">
        <v>5914238.7199999997</v>
      </c>
      <c r="E226" s="237">
        <v>6468548.71</v>
      </c>
      <c r="F226" s="240">
        <f t="shared" si="37"/>
        <v>1617137.1775</v>
      </c>
      <c r="G226" s="240">
        <v>1617137.2</v>
      </c>
      <c r="H226" s="240">
        <v>1617137.2</v>
      </c>
      <c r="I226" s="240">
        <v>1617137.2</v>
      </c>
      <c r="J226" s="21"/>
    </row>
    <row r="227" spans="1:10" x14ac:dyDescent="0.25">
      <c r="A227" s="83" t="s">
        <v>280</v>
      </c>
      <c r="B227" s="51">
        <v>7013</v>
      </c>
      <c r="C227" s="239">
        <v>3644064</v>
      </c>
      <c r="D227" s="238">
        <v>5004355.84</v>
      </c>
      <c r="E227" s="237">
        <v>5473387.3700000001</v>
      </c>
      <c r="F227" s="240">
        <f t="shared" si="37"/>
        <v>1368346.8425</v>
      </c>
      <c r="G227" s="240">
        <v>1368346.8</v>
      </c>
      <c r="H227" s="240">
        <v>1368346.8</v>
      </c>
      <c r="I227" s="240">
        <v>1368346.8</v>
      </c>
      <c r="J227" s="21"/>
    </row>
    <row r="228" spans="1:10" x14ac:dyDescent="0.25">
      <c r="A228" s="83" t="s">
        <v>287</v>
      </c>
      <c r="B228" s="51">
        <v>7014</v>
      </c>
      <c r="C228" s="239">
        <v>17122833</v>
      </c>
      <c r="D228" s="238">
        <v>21988884</v>
      </c>
      <c r="E228" s="237">
        <v>23893949.5</v>
      </c>
      <c r="F228" s="240">
        <f t="shared" si="37"/>
        <v>5973487.375</v>
      </c>
      <c r="G228" s="240">
        <v>5973487.4000000004</v>
      </c>
      <c r="H228" s="240">
        <v>5973487.4000000004</v>
      </c>
      <c r="I228" s="240">
        <v>5973487.4000000004</v>
      </c>
      <c r="J228" s="21"/>
    </row>
    <row r="229" spans="1:10" ht="51" x14ac:dyDescent="0.25">
      <c r="A229" s="42" t="s">
        <v>120</v>
      </c>
      <c r="B229" s="20">
        <v>7020</v>
      </c>
      <c r="C229" s="237">
        <f>C220/C211/12</f>
        <v>12663.004390779364</v>
      </c>
      <c r="D229" s="237">
        <f t="shared" ref="D229:E229" si="38">D220/D211/12</f>
        <v>16646.229374313938</v>
      </c>
      <c r="E229" s="237">
        <f t="shared" si="38"/>
        <v>18206.391500182948</v>
      </c>
      <c r="F229" s="240">
        <v>18206.39</v>
      </c>
      <c r="G229" s="240">
        <v>18206.39</v>
      </c>
      <c r="H229" s="240">
        <v>18206.39</v>
      </c>
      <c r="I229" s="240">
        <v>18206.39</v>
      </c>
      <c r="J229" s="21"/>
    </row>
    <row r="230" spans="1:10" x14ac:dyDescent="0.25">
      <c r="A230" s="83" t="s">
        <v>282</v>
      </c>
      <c r="B230" s="51">
        <v>7021</v>
      </c>
      <c r="C230" s="51">
        <f>C221/12</f>
        <v>55692</v>
      </c>
      <c r="D230" s="51">
        <f t="shared" ref="D230:I230" si="39">D221/12</f>
        <v>66973.583333333328</v>
      </c>
      <c r="E230" s="51">
        <f t="shared" si="39"/>
        <v>86236.92</v>
      </c>
      <c r="F230" s="51">
        <f t="shared" si="39"/>
        <v>21559.23</v>
      </c>
      <c r="G230" s="51">
        <f t="shared" si="39"/>
        <v>21559.23</v>
      </c>
      <c r="H230" s="51">
        <f t="shared" si="39"/>
        <v>21559.23</v>
      </c>
      <c r="I230" s="51">
        <f t="shared" si="39"/>
        <v>21559.23</v>
      </c>
      <c r="J230" s="21"/>
    </row>
    <row r="231" spans="1:10" ht="25.5" x14ac:dyDescent="0.25">
      <c r="A231" s="83" t="s">
        <v>281</v>
      </c>
      <c r="B231" s="51">
        <v>7022</v>
      </c>
      <c r="C231" s="239">
        <f>C222/12/C213</f>
        <v>14636.433333333332</v>
      </c>
      <c r="D231" s="239">
        <f t="shared" ref="D231:I231" si="40">D222/12/D213</f>
        <v>19663.580044444443</v>
      </c>
      <c r="E231" s="239">
        <f t="shared" si="40"/>
        <v>21506.54228888889</v>
      </c>
      <c r="F231" s="239">
        <f t="shared" si="40"/>
        <v>5376.6355722222224</v>
      </c>
      <c r="G231" s="239">
        <f t="shared" si="40"/>
        <v>5376.6355555555556</v>
      </c>
      <c r="H231" s="239">
        <f t="shared" si="40"/>
        <v>5376.6355555555556</v>
      </c>
      <c r="I231" s="239">
        <f t="shared" si="40"/>
        <v>5376.6355555555556</v>
      </c>
      <c r="J231" s="21"/>
    </row>
    <row r="232" spans="1:10" x14ac:dyDescent="0.25">
      <c r="A232" s="84" t="s">
        <v>284</v>
      </c>
      <c r="B232" s="51" t="s">
        <v>296</v>
      </c>
      <c r="C232" s="239">
        <f>C223/12/C214</f>
        <v>11649.857142857143</v>
      </c>
      <c r="D232" s="239">
        <f t="shared" ref="D232:E232" si="41">D223/12/D214</f>
        <v>16247.908690476192</v>
      </c>
      <c r="E232" s="239">
        <f t="shared" si="41"/>
        <v>17770.738214285713</v>
      </c>
      <c r="F232" s="239">
        <v>17770.740000000002</v>
      </c>
      <c r="G232" s="239">
        <v>17770.740000000002</v>
      </c>
      <c r="H232" s="239">
        <v>17770.740000000002</v>
      </c>
      <c r="I232" s="239">
        <v>17770.740000000002</v>
      </c>
      <c r="J232" s="21"/>
    </row>
    <row r="233" spans="1:10" x14ac:dyDescent="0.25">
      <c r="A233" s="84" t="s">
        <v>283</v>
      </c>
      <c r="B233" s="51" t="s">
        <v>297</v>
      </c>
      <c r="C233" s="239">
        <f>C224/12/C215</f>
        <v>17153.391304347828</v>
      </c>
      <c r="D233" s="239">
        <f t="shared" ref="D233:E233" si="42">D224/12/D215</f>
        <v>23076.739710144928</v>
      </c>
      <c r="E233" s="239">
        <f t="shared" si="42"/>
        <v>25239.599202898549</v>
      </c>
      <c r="F233" s="239">
        <v>25239.599999999999</v>
      </c>
      <c r="G233" s="239">
        <v>25239.599999999999</v>
      </c>
      <c r="H233" s="239">
        <v>25239.599999999999</v>
      </c>
      <c r="I233" s="239">
        <v>25239.599999999999</v>
      </c>
      <c r="J233" s="21"/>
    </row>
    <row r="234" spans="1:10" x14ac:dyDescent="0.25">
      <c r="A234" s="84" t="s">
        <v>285</v>
      </c>
      <c r="B234" s="51" t="s">
        <v>298</v>
      </c>
      <c r="C234" s="239">
        <f>C225/C216/12</f>
        <v>15347.863636363638</v>
      </c>
      <c r="D234" s="239">
        <f t="shared" ref="D234:E234" si="43">D225/D216/12</f>
        <v>20334.503787878788</v>
      </c>
      <c r="E234" s="239">
        <f t="shared" si="43"/>
        <v>22240.34810606061</v>
      </c>
      <c r="F234" s="20">
        <v>22240.35</v>
      </c>
      <c r="G234" s="20">
        <v>22240.35</v>
      </c>
      <c r="H234" s="20">
        <v>22240.35</v>
      </c>
      <c r="I234" s="20">
        <v>22240.35</v>
      </c>
      <c r="J234" s="21"/>
    </row>
    <row r="235" spans="1:10" x14ac:dyDescent="0.25">
      <c r="A235" s="84" t="s">
        <v>286</v>
      </c>
      <c r="B235" s="51" t="s">
        <v>299</v>
      </c>
      <c r="C235" s="239">
        <f>C226/C217/12</f>
        <v>13751.111111111111</v>
      </c>
      <c r="D235" s="239">
        <f t="shared" ref="D235:E235" si="44">D226/D217/12</f>
        <v>18253.82320987654</v>
      </c>
      <c r="E235" s="239">
        <f t="shared" si="44"/>
        <v>19964.656512345678</v>
      </c>
      <c r="F235" s="20">
        <v>19964.66</v>
      </c>
      <c r="G235" s="20">
        <v>19964.66</v>
      </c>
      <c r="H235" s="20">
        <v>19964.66</v>
      </c>
      <c r="I235" s="20">
        <v>19964.66</v>
      </c>
      <c r="J235" s="21"/>
    </row>
    <row r="236" spans="1:10" x14ac:dyDescent="0.25">
      <c r="A236" s="83" t="s">
        <v>280</v>
      </c>
      <c r="B236" s="51">
        <v>7023</v>
      </c>
      <c r="C236" s="239">
        <f>C227/12/C218</f>
        <v>13803.272727272728</v>
      </c>
      <c r="D236" s="239">
        <f t="shared" ref="D236:E236" si="45">D227/12/D218</f>
        <v>18955.893333333333</v>
      </c>
      <c r="E236" s="239">
        <f t="shared" si="45"/>
        <v>20732.52791666667</v>
      </c>
      <c r="F236" s="20">
        <v>20732.53</v>
      </c>
      <c r="G236" s="20">
        <v>20732.53</v>
      </c>
      <c r="H236" s="20">
        <v>20732.53</v>
      </c>
      <c r="I236" s="20">
        <v>20732.53</v>
      </c>
      <c r="J236" s="21"/>
    </row>
    <row r="237" spans="1:10" x14ac:dyDescent="0.25">
      <c r="A237" s="83" t="s">
        <v>287</v>
      </c>
      <c r="B237" s="51">
        <v>7024</v>
      </c>
      <c r="C237" s="239">
        <f>C228/C219/12</f>
        <v>10997.323699421964</v>
      </c>
      <c r="D237" s="239">
        <f t="shared" ref="D237:E237" si="46">D228/D219/12</f>
        <v>14122.597302504817</v>
      </c>
      <c r="E237" s="239">
        <f t="shared" si="46"/>
        <v>15346.146114322415</v>
      </c>
      <c r="F237" s="20">
        <v>15580.3</v>
      </c>
      <c r="G237" s="20">
        <v>15580.3</v>
      </c>
      <c r="H237" s="20">
        <v>15580.3</v>
      </c>
      <c r="I237" s="20">
        <v>15580.3</v>
      </c>
      <c r="J237" s="21"/>
    </row>
    <row r="238" spans="1:10" ht="25.5" x14ac:dyDescent="0.25">
      <c r="A238" s="24" t="s">
        <v>121</v>
      </c>
      <c r="B238" s="20">
        <v>7030</v>
      </c>
      <c r="C238" s="20">
        <v>0</v>
      </c>
      <c r="D238" s="50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1"/>
    </row>
    <row r="239" spans="1:10" ht="25.5" x14ac:dyDescent="0.25">
      <c r="A239" s="54" t="s">
        <v>122</v>
      </c>
      <c r="B239" s="44"/>
      <c r="C239" s="44"/>
      <c r="D239" s="44"/>
      <c r="E239" s="44"/>
      <c r="F239" s="62"/>
      <c r="G239" s="62"/>
      <c r="H239" s="62"/>
      <c r="I239" s="62"/>
      <c r="J239" s="33"/>
    </row>
    <row r="240" spans="1:10" ht="25.5" x14ac:dyDescent="0.25">
      <c r="A240" s="79" t="s">
        <v>306</v>
      </c>
      <c r="B240" s="33">
        <v>7040</v>
      </c>
      <c r="C240" s="258">
        <f>C241+C242+C245</f>
        <v>10499.469019999999</v>
      </c>
      <c r="D240" s="258">
        <f t="shared" ref="D240:E240" si="47">D241+D242+D245</f>
        <v>10642.939999999999</v>
      </c>
      <c r="E240" s="258">
        <f t="shared" si="47"/>
        <v>10796.14</v>
      </c>
      <c r="F240" s="258">
        <f t="shared" ref="F240" si="48">F241+F242+F245</f>
        <v>2699.04</v>
      </c>
      <c r="G240" s="258">
        <f t="shared" ref="G240" si="49">G241+G242+G245</f>
        <v>2699.04</v>
      </c>
      <c r="H240" s="258">
        <f t="shared" ref="H240" si="50">H241+H242+H245</f>
        <v>2699.04</v>
      </c>
      <c r="I240" s="258">
        <f t="shared" ref="I240" si="51">I241+I242+I245</f>
        <v>2699.04</v>
      </c>
      <c r="J240" s="33"/>
    </row>
    <row r="241" spans="1:10" x14ac:dyDescent="0.25">
      <c r="A241" s="80" t="s">
        <v>300</v>
      </c>
      <c r="B241" s="35">
        <v>7041</v>
      </c>
      <c r="C241" s="35">
        <v>0</v>
      </c>
      <c r="D241" s="62">
        <v>204.9</v>
      </c>
      <c r="E241" s="62">
        <v>358.1</v>
      </c>
      <c r="F241" s="62">
        <v>89.53</v>
      </c>
      <c r="G241" s="62">
        <v>89.53</v>
      </c>
      <c r="H241" s="62">
        <v>89.53</v>
      </c>
      <c r="I241" s="62">
        <v>89.53</v>
      </c>
      <c r="J241" s="33"/>
    </row>
    <row r="242" spans="1:10" ht="26.25" x14ac:dyDescent="0.25">
      <c r="A242" s="81" t="s">
        <v>301</v>
      </c>
      <c r="B242" s="35">
        <v>7042</v>
      </c>
      <c r="C242" s="242">
        <v>9078.7882699999991</v>
      </c>
      <c r="D242" s="62">
        <v>9178.7999999999993</v>
      </c>
      <c r="E242" s="62">
        <v>9178.7999999999993</v>
      </c>
      <c r="F242" s="62">
        <v>2294.6999999999998</v>
      </c>
      <c r="G242" s="62">
        <v>2294.6999999999998</v>
      </c>
      <c r="H242" s="62">
        <v>2294.6999999999998</v>
      </c>
      <c r="I242" s="62">
        <v>2294.6999999999998</v>
      </c>
      <c r="J242" s="33"/>
    </row>
    <row r="243" spans="1:10" ht="30.75" customHeight="1" x14ac:dyDescent="0.25">
      <c r="A243" s="81" t="s">
        <v>302</v>
      </c>
      <c r="B243" s="35">
        <v>7043</v>
      </c>
      <c r="C243" s="242">
        <v>0</v>
      </c>
      <c r="D243" s="242">
        <v>0</v>
      </c>
      <c r="E243" s="242">
        <v>0</v>
      </c>
      <c r="F243" s="242">
        <v>0</v>
      </c>
      <c r="G243" s="242">
        <v>0</v>
      </c>
      <c r="H243" s="242">
        <v>0</v>
      </c>
      <c r="I243" s="242">
        <v>0</v>
      </c>
      <c r="J243" s="33"/>
    </row>
    <row r="244" spans="1:10" x14ac:dyDescent="0.25">
      <c r="A244" s="81" t="s">
        <v>303</v>
      </c>
      <c r="B244" s="35">
        <v>7044</v>
      </c>
      <c r="C244" s="242"/>
      <c r="D244" s="62"/>
      <c r="E244" s="62"/>
      <c r="F244" s="62"/>
      <c r="G244" s="62"/>
      <c r="H244" s="62"/>
      <c r="I244" s="62"/>
      <c r="J244" s="33"/>
    </row>
    <row r="245" spans="1:10" x14ac:dyDescent="0.25">
      <c r="A245" s="81" t="s">
        <v>304</v>
      </c>
      <c r="B245" s="35">
        <v>7045</v>
      </c>
      <c r="C245" s="242">
        <v>1420.68075</v>
      </c>
      <c r="D245" s="62">
        <v>1259.24</v>
      </c>
      <c r="E245" s="62">
        <v>1259.24</v>
      </c>
      <c r="F245" s="62">
        <v>314.81</v>
      </c>
      <c r="G245" s="62">
        <v>314.81</v>
      </c>
      <c r="H245" s="62">
        <v>314.81</v>
      </c>
      <c r="I245" s="62">
        <v>314.81</v>
      </c>
      <c r="J245" s="33"/>
    </row>
    <row r="246" spans="1:10" x14ac:dyDescent="0.25">
      <c r="A246" s="81" t="s">
        <v>305</v>
      </c>
      <c r="B246" s="35">
        <v>7046</v>
      </c>
      <c r="C246" s="35">
        <v>0</v>
      </c>
      <c r="D246" s="35">
        <v>0</v>
      </c>
      <c r="E246" s="35">
        <v>0</v>
      </c>
      <c r="F246" s="35">
        <v>0</v>
      </c>
      <c r="G246" s="35">
        <v>0</v>
      </c>
      <c r="H246" s="35">
        <v>0</v>
      </c>
      <c r="I246" s="35">
        <v>0</v>
      </c>
      <c r="J246" s="33"/>
    </row>
    <row r="247" spans="1:10" ht="26.25" x14ac:dyDescent="0.25">
      <c r="A247" s="28" t="s">
        <v>311</v>
      </c>
      <c r="B247" s="33">
        <v>7050</v>
      </c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3"/>
    </row>
    <row r="248" spans="1:10" ht="39" x14ac:dyDescent="0.25">
      <c r="A248" s="80" t="s">
        <v>307</v>
      </c>
      <c r="B248" s="35">
        <v>7051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3"/>
    </row>
    <row r="249" spans="1:10" x14ac:dyDescent="0.25">
      <c r="A249" s="80" t="s">
        <v>308</v>
      </c>
      <c r="B249" s="35">
        <v>7052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3"/>
    </row>
    <row r="250" spans="1:10" x14ac:dyDescent="0.25">
      <c r="A250" s="80" t="s">
        <v>309</v>
      </c>
      <c r="B250" s="35">
        <v>7053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3"/>
    </row>
    <row r="251" spans="1:10" x14ac:dyDescent="0.25">
      <c r="A251" s="80" t="s">
        <v>310</v>
      </c>
      <c r="B251" s="35">
        <v>7054</v>
      </c>
      <c r="C251" s="35">
        <v>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3"/>
    </row>
    <row r="252" spans="1:10" ht="25.5" customHeight="1" x14ac:dyDescent="0.25">
      <c r="A252" s="28" t="s">
        <v>314</v>
      </c>
      <c r="B252" s="33">
        <v>7060</v>
      </c>
      <c r="C252" s="35">
        <v>0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3"/>
    </row>
    <row r="253" spans="1:10" ht="22.5" customHeight="1" x14ac:dyDescent="0.25">
      <c r="A253" s="80" t="s">
        <v>312</v>
      </c>
      <c r="B253" s="35">
        <v>7061</v>
      </c>
      <c r="C253" s="35">
        <f>C256</f>
        <v>6229.44</v>
      </c>
      <c r="D253" s="35">
        <f t="shared" ref="D253:I253" si="52">D256</f>
        <v>8188.95</v>
      </c>
      <c r="E253" s="35">
        <f t="shared" si="52"/>
        <v>8956.4500000000007</v>
      </c>
      <c r="F253" s="35">
        <f t="shared" si="52"/>
        <v>2239.11</v>
      </c>
      <c r="G253" s="35">
        <f t="shared" si="52"/>
        <v>2239.11</v>
      </c>
      <c r="H253" s="35">
        <f t="shared" si="52"/>
        <v>2239.11</v>
      </c>
      <c r="I253" s="35">
        <f t="shared" si="52"/>
        <v>2239.11</v>
      </c>
      <c r="J253" s="33"/>
    </row>
    <row r="254" spans="1:10" x14ac:dyDescent="0.25">
      <c r="A254" s="78" t="s">
        <v>315</v>
      </c>
      <c r="B254" s="33">
        <v>7070</v>
      </c>
      <c r="C254" s="33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/>
    </row>
    <row r="255" spans="1:10" x14ac:dyDescent="0.25">
      <c r="A255" s="80" t="s">
        <v>316</v>
      </c>
      <c r="B255" s="35">
        <v>7071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/>
    </row>
    <row r="256" spans="1:10" x14ac:dyDescent="0.25">
      <c r="A256" s="82" t="s">
        <v>123</v>
      </c>
      <c r="B256" s="35" t="s">
        <v>317</v>
      </c>
      <c r="C256" s="35">
        <v>6229.44</v>
      </c>
      <c r="D256" s="35">
        <v>8188.95</v>
      </c>
      <c r="E256" s="243">
        <v>8956.4500000000007</v>
      </c>
      <c r="F256" s="62">
        <v>2239.11</v>
      </c>
      <c r="G256" s="62">
        <v>2239.11</v>
      </c>
      <c r="H256" s="62">
        <v>2239.11</v>
      </c>
      <c r="I256" s="62">
        <v>2239.11</v>
      </c>
      <c r="J256" s="33"/>
    </row>
    <row r="257" spans="1:10" x14ac:dyDescent="0.25">
      <c r="A257" s="82" t="s">
        <v>124</v>
      </c>
      <c r="B257" s="35" t="s">
        <v>318</v>
      </c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3"/>
    </row>
    <row r="258" spans="1:10" x14ac:dyDescent="0.25">
      <c r="A258" s="82" t="s">
        <v>125</v>
      </c>
      <c r="B258" s="35" t="s">
        <v>319</v>
      </c>
      <c r="C258" s="35">
        <v>0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3"/>
    </row>
    <row r="259" spans="1:10" x14ac:dyDescent="0.25">
      <c r="A259" s="82" t="s">
        <v>126</v>
      </c>
      <c r="B259" s="35" t="s">
        <v>320</v>
      </c>
      <c r="C259" s="35">
        <v>0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3"/>
    </row>
    <row r="260" spans="1:10" x14ac:dyDescent="0.25">
      <c r="A260" s="80" t="s">
        <v>313</v>
      </c>
      <c r="B260" s="35">
        <v>7072</v>
      </c>
      <c r="C260" s="35">
        <v>0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3"/>
    </row>
    <row r="261" spans="1:10" x14ac:dyDescent="0.25">
      <c r="A261" s="23" t="s">
        <v>127</v>
      </c>
      <c r="B261" s="41"/>
      <c r="C261" s="35">
        <v>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3"/>
    </row>
    <row r="262" spans="1:10" x14ac:dyDescent="0.25">
      <c r="A262" s="24" t="s">
        <v>128</v>
      </c>
      <c r="B262" s="41">
        <v>7070</v>
      </c>
      <c r="C262" s="244">
        <v>18236</v>
      </c>
      <c r="D262" s="245">
        <v>22082</v>
      </c>
      <c r="E262" s="245">
        <v>22082</v>
      </c>
      <c r="F262" s="245">
        <v>0</v>
      </c>
      <c r="G262" s="245">
        <v>0</v>
      </c>
      <c r="H262" s="245">
        <v>0</v>
      </c>
      <c r="I262" s="245">
        <v>0</v>
      </c>
      <c r="J262" s="33"/>
    </row>
    <row r="263" spans="1:10" x14ac:dyDescent="0.25">
      <c r="A263" s="24" t="s">
        <v>129</v>
      </c>
      <c r="B263" s="41">
        <v>7080</v>
      </c>
      <c r="C263" s="244">
        <v>4430</v>
      </c>
      <c r="D263" s="245">
        <v>3306</v>
      </c>
      <c r="E263" s="245">
        <v>3306</v>
      </c>
      <c r="F263" s="245">
        <v>0</v>
      </c>
      <c r="G263" s="245">
        <v>0</v>
      </c>
      <c r="H263" s="245">
        <v>0</v>
      </c>
      <c r="I263" s="245">
        <v>0</v>
      </c>
      <c r="J263" s="33"/>
    </row>
    <row r="264" spans="1:10" x14ac:dyDescent="0.25">
      <c r="A264" s="43" t="s">
        <v>130</v>
      </c>
      <c r="B264" s="41">
        <v>7090</v>
      </c>
      <c r="C264" s="244">
        <v>32.22</v>
      </c>
      <c r="D264" s="241">
        <v>38.61</v>
      </c>
      <c r="E264" s="241">
        <v>38.61</v>
      </c>
      <c r="F264" s="36">
        <v>9.65</v>
      </c>
      <c r="G264" s="36">
        <v>9.65</v>
      </c>
      <c r="H264" s="36">
        <v>9.65</v>
      </c>
      <c r="I264" s="36">
        <v>9.65</v>
      </c>
      <c r="J264" s="33"/>
    </row>
    <row r="265" spans="1:10" x14ac:dyDescent="0.25">
      <c r="A265" s="303"/>
      <c r="B265" s="304"/>
      <c r="C265" s="305"/>
      <c r="D265" s="306"/>
      <c r="E265" s="306"/>
      <c r="F265" s="65"/>
      <c r="G265" s="307"/>
      <c r="H265" s="307"/>
      <c r="I265" s="307"/>
      <c r="J265" s="56"/>
    </row>
    <row r="266" spans="1:10" x14ac:dyDescent="0.25">
      <c r="A266" s="57" t="s">
        <v>487</v>
      </c>
      <c r="B266" s="58"/>
      <c r="C266" s="131"/>
      <c r="D266" s="342"/>
      <c r="E266" s="342"/>
      <c r="F266" s="59"/>
      <c r="G266" s="343" t="s">
        <v>488</v>
      </c>
      <c r="H266" s="343"/>
      <c r="I266" s="343"/>
      <c r="J266" s="56"/>
    </row>
    <row r="267" spans="1:10" x14ac:dyDescent="0.25">
      <c r="A267" s="60" t="s">
        <v>131</v>
      </c>
      <c r="B267" s="1"/>
      <c r="C267" s="2" t="s">
        <v>352</v>
      </c>
      <c r="D267" s="344"/>
      <c r="E267" s="344"/>
      <c r="F267" s="60"/>
      <c r="G267" s="313" t="s">
        <v>132</v>
      </c>
      <c r="H267" s="313"/>
      <c r="I267" s="313"/>
      <c r="J267" s="56"/>
    </row>
    <row r="268" spans="1:10" x14ac:dyDescent="0.25">
      <c r="A268" s="65" t="s">
        <v>133</v>
      </c>
      <c r="B268" s="55"/>
      <c r="C268" s="55"/>
      <c r="D268" s="55"/>
      <c r="E268" s="55"/>
      <c r="F268" s="55"/>
      <c r="G268" s="55"/>
      <c r="H268" s="55"/>
      <c r="I268" s="55"/>
      <c r="J268" s="56"/>
    </row>
    <row r="269" spans="1:10" x14ac:dyDescent="0.25">
      <c r="A269" s="299" t="s">
        <v>504</v>
      </c>
    </row>
    <row r="270" spans="1:10" ht="27.75" customHeight="1" x14ac:dyDescent="0.25">
      <c r="A270" s="212" t="s">
        <v>435</v>
      </c>
      <c r="G270" s="341" t="s">
        <v>569</v>
      </c>
      <c r="H270" s="341"/>
      <c r="I270" s="341"/>
    </row>
  </sheetData>
  <mergeCells count="59">
    <mergeCell ref="G270:I270"/>
    <mergeCell ref="A200:J200"/>
    <mergeCell ref="A209:J209"/>
    <mergeCell ref="D266:E266"/>
    <mergeCell ref="G266:I266"/>
    <mergeCell ref="D267:E267"/>
    <mergeCell ref="G267:I267"/>
    <mergeCell ref="A72:J72"/>
    <mergeCell ref="A143:J143"/>
    <mergeCell ref="A156:J156"/>
    <mergeCell ref="C29:C30"/>
    <mergeCell ref="A184:J184"/>
    <mergeCell ref="B23:F23"/>
    <mergeCell ref="I23:J23"/>
    <mergeCell ref="B24:E24"/>
    <mergeCell ref="I24:J24"/>
    <mergeCell ref="A173:J173"/>
    <mergeCell ref="B25:E25"/>
    <mergeCell ref="I25:J25"/>
    <mergeCell ref="A27:I27"/>
    <mergeCell ref="A29:A30"/>
    <mergeCell ref="B29:B30"/>
    <mergeCell ref="D29:D30"/>
    <mergeCell ref="E29:E30"/>
    <mergeCell ref="F29:I29"/>
    <mergeCell ref="J29:J30"/>
    <mergeCell ref="A32:J32"/>
    <mergeCell ref="A33:J33"/>
    <mergeCell ref="B21:E21"/>
    <mergeCell ref="F21:H21"/>
    <mergeCell ref="I21:J21"/>
    <mergeCell ref="B22:E22"/>
    <mergeCell ref="I22:J22"/>
    <mergeCell ref="B19:E19"/>
    <mergeCell ref="I19:J19"/>
    <mergeCell ref="B20:E20"/>
    <mergeCell ref="F20:H20"/>
    <mergeCell ref="I20:J20"/>
    <mergeCell ref="I16:J16"/>
    <mergeCell ref="B17:E17"/>
    <mergeCell ref="I17:J17"/>
    <mergeCell ref="B18:E18"/>
    <mergeCell ref="I18:J18"/>
    <mergeCell ref="I28:J28"/>
    <mergeCell ref="B13:E13"/>
    <mergeCell ref="H13:J13"/>
    <mergeCell ref="H2:I2"/>
    <mergeCell ref="H4:J4"/>
    <mergeCell ref="H5:J5"/>
    <mergeCell ref="H7:J7"/>
    <mergeCell ref="I9:J9"/>
    <mergeCell ref="I10:J10"/>
    <mergeCell ref="I11:J11"/>
    <mergeCell ref="H12:J12"/>
    <mergeCell ref="B14:F14"/>
    <mergeCell ref="I14:J14"/>
    <mergeCell ref="B15:E15"/>
    <mergeCell ref="I15:J15"/>
    <mergeCell ref="B16:E16"/>
  </mergeCells>
  <pageMargins left="0" right="0" top="0" bottom="0" header="0.31496062992125984" footer="0.31496062992125984"/>
  <pageSetup paperSize="9" scale="88" fitToHeight="12" orientation="landscape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8" sqref="R8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zoomScaleNormal="100" workbookViewId="0">
      <selection activeCell="K84" sqref="K84"/>
    </sheetView>
  </sheetViews>
  <sheetFormatPr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7" max="7" width="12.28515625" customWidth="1"/>
    <col min="8" max="8" width="12" customWidth="1"/>
    <col min="9" max="9" width="10.85546875" customWidth="1"/>
    <col min="10" max="10" width="13" customWidth="1"/>
    <col min="11" max="11" width="10.140625" customWidth="1"/>
  </cols>
  <sheetData>
    <row r="1" spans="1:11" x14ac:dyDescent="0.25">
      <c r="I1" s="63" t="s">
        <v>416</v>
      </c>
    </row>
    <row r="2" spans="1:11" ht="8.25" customHeight="1" x14ac:dyDescent="0.25"/>
    <row r="3" spans="1:11" hidden="1" x14ac:dyDescent="0.25"/>
    <row r="4" spans="1:11" hidden="1" x14ac:dyDescent="0.25"/>
    <row r="5" spans="1:11" hidden="1" x14ac:dyDescent="0.25"/>
    <row r="6" spans="1:11" x14ac:dyDescent="0.25">
      <c r="A6" s="405" t="s">
        <v>324</v>
      </c>
      <c r="B6" s="405"/>
      <c r="C6" s="405"/>
      <c r="D6" s="405"/>
      <c r="E6" s="405"/>
      <c r="F6" s="405"/>
      <c r="G6" s="405"/>
      <c r="H6" s="405"/>
      <c r="I6" s="405"/>
      <c r="J6" s="405"/>
    </row>
    <row r="7" spans="1:11" x14ac:dyDescent="0.25">
      <c r="A7" s="406" t="s">
        <v>493</v>
      </c>
      <c r="B7" s="406"/>
      <c r="C7" s="406"/>
      <c r="D7" s="406"/>
      <c r="E7" s="406"/>
      <c r="F7" s="406"/>
      <c r="G7" s="406"/>
      <c r="H7" s="406"/>
      <c r="I7" s="406"/>
      <c r="J7" s="406"/>
    </row>
    <row r="8" spans="1:11" x14ac:dyDescent="0.25">
      <c r="A8" s="407" t="s">
        <v>325</v>
      </c>
      <c r="B8" s="407"/>
      <c r="C8" s="407"/>
      <c r="D8" s="407"/>
      <c r="E8" s="407"/>
      <c r="F8" s="407"/>
      <c r="G8" s="407"/>
      <c r="H8" s="407"/>
      <c r="I8" s="407"/>
      <c r="J8" s="407"/>
      <c r="K8" s="287"/>
    </row>
    <row r="9" spans="1:11" x14ac:dyDescent="0.25">
      <c r="A9" s="407" t="s">
        <v>529</v>
      </c>
      <c r="B9" s="407"/>
      <c r="C9" s="407"/>
      <c r="D9" s="407"/>
      <c r="E9" s="407"/>
      <c r="F9" s="407"/>
      <c r="G9" s="407"/>
      <c r="H9" s="407"/>
      <c r="I9" s="407"/>
      <c r="J9" s="407"/>
      <c r="K9" s="287"/>
    </row>
    <row r="10" spans="1:11" ht="15.75" customHeight="1" x14ac:dyDescent="0.25">
      <c r="A10" s="106"/>
      <c r="B10" s="107"/>
      <c r="C10" s="107"/>
      <c r="D10" s="107"/>
      <c r="E10" s="107"/>
      <c r="F10" s="107"/>
      <c r="G10" s="108"/>
      <c r="H10" s="108"/>
      <c r="I10" s="132"/>
      <c r="J10" s="108" t="s">
        <v>509</v>
      </c>
      <c r="K10" s="287"/>
    </row>
    <row r="11" spans="1:11" ht="20.25" customHeight="1" x14ac:dyDescent="0.25">
      <c r="A11" s="408" t="s">
        <v>326</v>
      </c>
      <c r="B11" s="408" t="s">
        <v>327</v>
      </c>
      <c r="C11" s="409" t="s">
        <v>492</v>
      </c>
      <c r="D11" s="410"/>
      <c r="E11" s="410"/>
      <c r="F11" s="411"/>
      <c r="G11" s="412" t="s">
        <v>328</v>
      </c>
      <c r="H11" s="412"/>
      <c r="I11" s="412"/>
      <c r="J11" s="412"/>
    </row>
    <row r="12" spans="1:11" ht="38.25" x14ac:dyDescent="0.25">
      <c r="A12" s="408"/>
      <c r="B12" s="408"/>
      <c r="C12" s="133" t="s">
        <v>329</v>
      </c>
      <c r="D12" s="133" t="s">
        <v>330</v>
      </c>
      <c r="E12" s="134" t="s">
        <v>331</v>
      </c>
      <c r="F12" s="135" t="s">
        <v>332</v>
      </c>
      <c r="G12" s="133" t="s">
        <v>329</v>
      </c>
      <c r="H12" s="133" t="s">
        <v>330</v>
      </c>
      <c r="I12" s="134" t="s">
        <v>333</v>
      </c>
      <c r="J12" s="135" t="s">
        <v>334</v>
      </c>
    </row>
    <row r="13" spans="1:11" x14ac:dyDescent="0.25">
      <c r="A13" s="133" t="s">
        <v>335</v>
      </c>
      <c r="B13" s="133" t="s">
        <v>336</v>
      </c>
      <c r="C13" s="133">
        <v>3</v>
      </c>
      <c r="D13" s="133">
        <v>4</v>
      </c>
      <c r="E13" s="133">
        <v>5</v>
      </c>
      <c r="F13" s="134">
        <v>6</v>
      </c>
      <c r="G13" s="135">
        <v>7</v>
      </c>
      <c r="H13" s="109">
        <v>8</v>
      </c>
      <c r="I13" s="109">
        <v>9</v>
      </c>
      <c r="J13" s="109">
        <v>10</v>
      </c>
    </row>
    <row r="14" spans="1:11" x14ac:dyDescent="0.25">
      <c r="A14" s="413" t="s">
        <v>337</v>
      </c>
      <c r="B14" s="414"/>
      <c r="C14" s="414"/>
      <c r="D14" s="414"/>
      <c r="E14" s="414"/>
      <c r="F14" s="414"/>
      <c r="G14" s="414"/>
      <c r="H14" s="414"/>
      <c r="I14" s="414"/>
      <c r="J14" s="415"/>
    </row>
    <row r="15" spans="1:11" x14ac:dyDescent="0.25">
      <c r="A15" s="416" t="s">
        <v>338</v>
      </c>
      <c r="B15" s="416"/>
      <c r="C15" s="416"/>
      <c r="D15" s="416"/>
      <c r="E15" s="416"/>
      <c r="F15" s="416"/>
      <c r="G15" s="416"/>
      <c r="H15" s="416"/>
      <c r="I15" s="416"/>
      <c r="J15" s="416"/>
    </row>
    <row r="16" spans="1:11" x14ac:dyDescent="0.25">
      <c r="A16" s="155" t="s">
        <v>419</v>
      </c>
      <c r="B16" s="156">
        <v>100</v>
      </c>
      <c r="C16" s="157" t="s">
        <v>339</v>
      </c>
      <c r="D16" s="280">
        <v>1559.7</v>
      </c>
      <c r="E16" s="280" t="s">
        <v>339</v>
      </c>
      <c r="F16" s="157" t="s">
        <v>339</v>
      </c>
      <c r="G16" s="157" t="s">
        <v>339</v>
      </c>
      <c r="H16" s="157">
        <v>2101</v>
      </c>
      <c r="I16" s="157" t="s">
        <v>339</v>
      </c>
      <c r="J16" s="157" t="s">
        <v>339</v>
      </c>
    </row>
    <row r="17" spans="1:10" x14ac:dyDescent="0.25">
      <c r="A17" s="155" t="s">
        <v>420</v>
      </c>
      <c r="B17" s="156">
        <v>200</v>
      </c>
      <c r="C17" s="157" t="s">
        <v>339</v>
      </c>
      <c r="D17" s="280">
        <v>3169</v>
      </c>
      <c r="E17" s="157" t="s">
        <v>339</v>
      </c>
      <c r="F17" s="157" t="s">
        <v>339</v>
      </c>
      <c r="G17" s="157" t="s">
        <v>339</v>
      </c>
      <c r="H17" s="157">
        <v>3169</v>
      </c>
      <c r="I17" s="157" t="s">
        <v>339</v>
      </c>
      <c r="J17" s="157" t="s">
        <v>339</v>
      </c>
    </row>
    <row r="18" spans="1:10" ht="24" x14ac:dyDescent="0.25">
      <c r="A18" s="158" t="s">
        <v>440</v>
      </c>
      <c r="B18" s="159">
        <v>1000</v>
      </c>
      <c r="C18" s="277">
        <f>G18/4</f>
        <v>25819.02</v>
      </c>
      <c r="D18" s="160">
        <f>H18/4</f>
        <v>17813.399999999998</v>
      </c>
      <c r="E18" s="277">
        <f>D18-C18</f>
        <v>-8005.6200000000026</v>
      </c>
      <c r="F18" s="277">
        <f>(D18/C18)*100</f>
        <v>68.993323526609444</v>
      </c>
      <c r="G18" s="160">
        <f>G19+G20+G21</f>
        <v>103276.08</v>
      </c>
      <c r="H18" s="160">
        <f>SUM(H19:H20)</f>
        <v>71253.599999999991</v>
      </c>
      <c r="I18" s="280">
        <f t="shared" ref="I18" si="0">H18-G18</f>
        <v>-32022.48000000001</v>
      </c>
      <c r="J18" s="280">
        <f t="shared" ref="J18" si="1">(H18/G18)*100</f>
        <v>68.993323526609444</v>
      </c>
    </row>
    <row r="19" spans="1:10" x14ac:dyDescent="0.25">
      <c r="A19" s="161" t="s">
        <v>255</v>
      </c>
      <c r="B19" s="162">
        <v>1004</v>
      </c>
      <c r="C19" s="277">
        <f t="shared" ref="C19:C42" si="2">G19/4</f>
        <v>12865.35</v>
      </c>
      <c r="D19" s="160">
        <f t="shared" ref="D19:D42" si="3">H19/4</f>
        <v>10145.279999999999</v>
      </c>
      <c r="E19" s="277">
        <f t="shared" ref="E19:E34" si="4">D19-C19</f>
        <v>-2720.0700000000015</v>
      </c>
      <c r="F19" s="277">
        <f t="shared" ref="F19:F32" si="5">(D19/C19)*100</f>
        <v>78.857396028868237</v>
      </c>
      <c r="G19" s="160">
        <f t="shared" ref="G19:H21" si="6">G24*1.2</f>
        <v>51461.4</v>
      </c>
      <c r="H19" s="160">
        <f t="shared" si="6"/>
        <v>40581.119999999995</v>
      </c>
      <c r="I19" s="288">
        <f t="shared" ref="I19:I23" si="7">H19-G19</f>
        <v>-10880.280000000006</v>
      </c>
      <c r="J19" s="288">
        <f t="shared" ref="J19:J23" si="8">(H19/G19)*100</f>
        <v>78.857396028868237</v>
      </c>
    </row>
    <row r="20" spans="1:10" x14ac:dyDescent="0.25">
      <c r="A20" s="161" t="s">
        <v>256</v>
      </c>
      <c r="B20" s="162">
        <v>1005</v>
      </c>
      <c r="C20" s="277">
        <f t="shared" si="2"/>
        <v>11862.87</v>
      </c>
      <c r="D20" s="160">
        <f t="shared" si="3"/>
        <v>7668.12</v>
      </c>
      <c r="E20" s="277">
        <f t="shared" si="4"/>
        <v>-4194.7500000000009</v>
      </c>
      <c r="F20" s="277">
        <f t="shared" si="5"/>
        <v>64.639669826947426</v>
      </c>
      <c r="G20" s="160">
        <f t="shared" si="6"/>
        <v>47451.48</v>
      </c>
      <c r="H20" s="160">
        <f t="shared" si="6"/>
        <v>30672.48</v>
      </c>
      <c r="I20" s="288">
        <f t="shared" si="7"/>
        <v>-16779.000000000004</v>
      </c>
      <c r="J20" s="288">
        <f t="shared" si="8"/>
        <v>64.639669826947426</v>
      </c>
    </row>
    <row r="21" spans="1:10" ht="24" x14ac:dyDescent="0.25">
      <c r="A21" s="161" t="s">
        <v>258</v>
      </c>
      <c r="B21" s="162">
        <v>1006</v>
      </c>
      <c r="C21" s="277">
        <f t="shared" si="2"/>
        <v>1090.8</v>
      </c>
      <c r="D21" s="160">
        <f t="shared" si="3"/>
        <v>1065.8999999999999</v>
      </c>
      <c r="E21" s="277">
        <f t="shared" si="4"/>
        <v>-24.900000000000091</v>
      </c>
      <c r="F21" s="277">
        <f t="shared" si="5"/>
        <v>97.717271727172701</v>
      </c>
      <c r="G21" s="160">
        <f t="shared" si="6"/>
        <v>4363.2</v>
      </c>
      <c r="H21" s="160">
        <f t="shared" si="6"/>
        <v>4263.5999999999995</v>
      </c>
      <c r="I21" s="288">
        <f t="shared" si="7"/>
        <v>-99.600000000000364</v>
      </c>
      <c r="J21" s="288">
        <f t="shared" si="8"/>
        <v>97.717271727172701</v>
      </c>
    </row>
    <row r="22" spans="1:10" x14ac:dyDescent="0.25">
      <c r="A22" s="163" t="s">
        <v>355</v>
      </c>
      <c r="B22" s="164">
        <v>1010</v>
      </c>
      <c r="C22" s="277">
        <f t="shared" si="2"/>
        <v>4303.17</v>
      </c>
      <c r="D22" s="160">
        <f t="shared" si="3"/>
        <v>2968.9</v>
      </c>
      <c r="E22" s="277">
        <f t="shared" si="4"/>
        <v>-1334.27</v>
      </c>
      <c r="F22" s="277">
        <f t="shared" si="5"/>
        <v>68.993323526609458</v>
      </c>
      <c r="G22" s="160">
        <f>G23*20%</f>
        <v>17212.68</v>
      </c>
      <c r="H22" s="160">
        <f>H23*20%</f>
        <v>11875.6</v>
      </c>
      <c r="I22" s="280">
        <f t="shared" si="7"/>
        <v>-5337.08</v>
      </c>
      <c r="J22" s="280">
        <f t="shared" si="8"/>
        <v>68.993323526609458</v>
      </c>
    </row>
    <row r="23" spans="1:10" ht="36" x14ac:dyDescent="0.25">
      <c r="A23" s="158" t="s">
        <v>356</v>
      </c>
      <c r="B23" s="165">
        <v>1020</v>
      </c>
      <c r="C23" s="277">
        <f t="shared" si="2"/>
        <v>21515.85</v>
      </c>
      <c r="D23" s="160">
        <f t="shared" si="3"/>
        <v>14844.5</v>
      </c>
      <c r="E23" s="277">
        <f t="shared" si="4"/>
        <v>-6671.3499999999985</v>
      </c>
      <c r="F23" s="277">
        <f t="shared" si="5"/>
        <v>68.993323526609458</v>
      </c>
      <c r="G23" s="160">
        <f>G24+G25+G26</f>
        <v>86063.4</v>
      </c>
      <c r="H23" s="160">
        <f>H24+H25</f>
        <v>59378</v>
      </c>
      <c r="I23" s="280">
        <f t="shared" si="7"/>
        <v>-26685.399999999994</v>
      </c>
      <c r="J23" s="280">
        <f t="shared" si="8"/>
        <v>68.993323526609458</v>
      </c>
    </row>
    <row r="24" spans="1:10" x14ac:dyDescent="0.25">
      <c r="A24" s="161" t="s">
        <v>255</v>
      </c>
      <c r="B24" s="162">
        <v>1024</v>
      </c>
      <c r="C24" s="277">
        <f t="shared" si="2"/>
        <v>10721.125</v>
      </c>
      <c r="D24" s="160">
        <f t="shared" si="3"/>
        <v>8454.4</v>
      </c>
      <c r="E24" s="277">
        <f t="shared" si="4"/>
        <v>-2266.7250000000004</v>
      </c>
      <c r="F24" s="277">
        <f t="shared" si="5"/>
        <v>78.857396028868237</v>
      </c>
      <c r="G24" s="160">
        <v>42884.5</v>
      </c>
      <c r="H24" s="160">
        <v>33817.599999999999</v>
      </c>
      <c r="I24" s="288">
        <f t="shared" ref="I24:I42" si="9">H24-G24</f>
        <v>-9066.9000000000015</v>
      </c>
      <c r="J24" s="288">
        <f t="shared" ref="J24:J32" si="10">(H24/G24)*100</f>
        <v>78.857396028868237</v>
      </c>
    </row>
    <row r="25" spans="1:10" x14ac:dyDescent="0.25">
      <c r="A25" s="161" t="s">
        <v>256</v>
      </c>
      <c r="B25" s="162">
        <v>1025</v>
      </c>
      <c r="C25" s="277">
        <f t="shared" si="2"/>
        <v>9885.7250000000004</v>
      </c>
      <c r="D25" s="160">
        <f t="shared" si="3"/>
        <v>6390.1</v>
      </c>
      <c r="E25" s="277">
        <f t="shared" si="4"/>
        <v>-3495.625</v>
      </c>
      <c r="F25" s="277">
        <f t="shared" si="5"/>
        <v>64.63966982694744</v>
      </c>
      <c r="G25" s="160">
        <v>39542.9</v>
      </c>
      <c r="H25" s="160">
        <v>25560.400000000001</v>
      </c>
      <c r="I25" s="288">
        <f t="shared" si="9"/>
        <v>-13982.5</v>
      </c>
      <c r="J25" s="288">
        <f t="shared" si="10"/>
        <v>64.63966982694744</v>
      </c>
    </row>
    <row r="26" spans="1:10" ht="24" x14ac:dyDescent="0.25">
      <c r="A26" s="161" t="s">
        <v>258</v>
      </c>
      <c r="B26" s="162">
        <v>1026</v>
      </c>
      <c r="C26" s="277">
        <f t="shared" si="2"/>
        <v>909</v>
      </c>
      <c r="D26" s="277">
        <f t="shared" si="3"/>
        <v>888.25</v>
      </c>
      <c r="E26" s="277">
        <f t="shared" si="4"/>
        <v>-20.75</v>
      </c>
      <c r="F26" s="277">
        <f t="shared" si="5"/>
        <v>97.717271727172715</v>
      </c>
      <c r="G26" s="277">
        <v>3636</v>
      </c>
      <c r="H26" s="277">
        <v>3553</v>
      </c>
      <c r="I26" s="288">
        <f t="shared" si="9"/>
        <v>-83</v>
      </c>
      <c r="J26" s="288">
        <f t="shared" si="10"/>
        <v>97.717271727172715</v>
      </c>
    </row>
    <row r="27" spans="1:10" ht="24" x14ac:dyDescent="0.25">
      <c r="A27" s="166" t="s">
        <v>35</v>
      </c>
      <c r="B27" s="165">
        <v>1030</v>
      </c>
      <c r="C27" s="277">
        <f t="shared" si="2"/>
        <v>1029.7750000000001</v>
      </c>
      <c r="D27" s="277">
        <f t="shared" si="3"/>
        <v>1029.7750000000001</v>
      </c>
      <c r="E27" s="277">
        <f t="shared" si="4"/>
        <v>0</v>
      </c>
      <c r="F27" s="277">
        <f t="shared" si="5"/>
        <v>100</v>
      </c>
      <c r="G27" s="160">
        <v>4119.1000000000004</v>
      </c>
      <c r="H27" s="160">
        <v>4119.1000000000004</v>
      </c>
      <c r="I27" s="280">
        <f t="shared" si="9"/>
        <v>0</v>
      </c>
      <c r="J27" s="280">
        <f t="shared" si="10"/>
        <v>100</v>
      </c>
    </row>
    <row r="28" spans="1:10" x14ac:dyDescent="0.25">
      <c r="A28" s="167" t="s">
        <v>36</v>
      </c>
      <c r="B28" s="168">
        <v>1031</v>
      </c>
      <c r="C28" s="160">
        <f t="shared" si="2"/>
        <v>0</v>
      </c>
      <c r="D28" s="277">
        <f t="shared" si="3"/>
        <v>0</v>
      </c>
      <c r="E28" s="277">
        <f t="shared" si="4"/>
        <v>0</v>
      </c>
      <c r="F28" s="277">
        <v>0</v>
      </c>
      <c r="G28" s="160">
        <v>0</v>
      </c>
      <c r="H28" s="160">
        <v>0</v>
      </c>
      <c r="I28" s="280">
        <f t="shared" si="9"/>
        <v>0</v>
      </c>
      <c r="J28" s="280">
        <v>0</v>
      </c>
    </row>
    <row r="29" spans="1:10" ht="24" x14ac:dyDescent="0.25">
      <c r="A29" s="166" t="s">
        <v>37</v>
      </c>
      <c r="B29" s="165">
        <v>1040</v>
      </c>
      <c r="C29" s="160">
        <f t="shared" si="2"/>
        <v>4168.1000000000004</v>
      </c>
      <c r="D29" s="277">
        <f t="shared" si="3"/>
        <v>4168.1000000000004</v>
      </c>
      <c r="E29" s="277">
        <f t="shared" si="4"/>
        <v>0</v>
      </c>
      <c r="F29" s="277">
        <f t="shared" si="5"/>
        <v>100</v>
      </c>
      <c r="G29" s="160">
        <f>G30</f>
        <v>16672.400000000001</v>
      </c>
      <c r="H29" s="160">
        <f>H30</f>
        <v>16672.400000000001</v>
      </c>
      <c r="I29" s="280">
        <f t="shared" si="9"/>
        <v>0</v>
      </c>
      <c r="J29" s="280">
        <f t="shared" si="10"/>
        <v>100</v>
      </c>
    </row>
    <row r="30" spans="1:10" ht="63.75" x14ac:dyDescent="0.25">
      <c r="A30" s="42" t="s">
        <v>486</v>
      </c>
      <c r="B30" s="162">
        <v>1041</v>
      </c>
      <c r="C30" s="160">
        <f t="shared" si="2"/>
        <v>4168.1000000000004</v>
      </c>
      <c r="D30" s="277">
        <f t="shared" si="3"/>
        <v>4168.1000000000004</v>
      </c>
      <c r="E30" s="277">
        <f t="shared" si="4"/>
        <v>0</v>
      </c>
      <c r="F30" s="277">
        <f t="shared" si="5"/>
        <v>100</v>
      </c>
      <c r="G30" s="160">
        <f>G31+G32</f>
        <v>16672.400000000001</v>
      </c>
      <c r="H30" s="160">
        <f>H31+H32</f>
        <v>16672.400000000001</v>
      </c>
      <c r="I30" s="280">
        <f t="shared" si="9"/>
        <v>0</v>
      </c>
      <c r="J30" s="280">
        <f t="shared" si="10"/>
        <v>100</v>
      </c>
    </row>
    <row r="31" spans="1:10" x14ac:dyDescent="0.25">
      <c r="A31" s="195" t="s">
        <v>505</v>
      </c>
      <c r="B31" s="170" t="s">
        <v>383</v>
      </c>
      <c r="C31" s="160">
        <f t="shared" si="2"/>
        <v>4059.8</v>
      </c>
      <c r="D31" s="277">
        <f t="shared" si="3"/>
        <v>4059.8</v>
      </c>
      <c r="E31" s="277">
        <f t="shared" si="4"/>
        <v>0</v>
      </c>
      <c r="F31" s="277">
        <f t="shared" si="5"/>
        <v>100</v>
      </c>
      <c r="G31" s="160">
        <v>16239.2</v>
      </c>
      <c r="H31" s="160">
        <v>16239.2</v>
      </c>
      <c r="I31" s="280">
        <f t="shared" si="9"/>
        <v>0</v>
      </c>
      <c r="J31" s="280">
        <f t="shared" si="10"/>
        <v>100</v>
      </c>
    </row>
    <row r="32" spans="1:10" x14ac:dyDescent="0.25">
      <c r="A32" s="195" t="s">
        <v>523</v>
      </c>
      <c r="B32" s="170" t="s">
        <v>384</v>
      </c>
      <c r="C32" s="160">
        <f t="shared" si="2"/>
        <v>108.3</v>
      </c>
      <c r="D32" s="277">
        <f t="shared" si="3"/>
        <v>108.3</v>
      </c>
      <c r="E32" s="277">
        <f t="shared" si="4"/>
        <v>0</v>
      </c>
      <c r="F32" s="277">
        <f t="shared" si="5"/>
        <v>100</v>
      </c>
      <c r="G32" s="160">
        <v>433.2</v>
      </c>
      <c r="H32" s="160">
        <v>433.2</v>
      </c>
      <c r="I32" s="157">
        <f t="shared" si="9"/>
        <v>0</v>
      </c>
      <c r="J32" s="157">
        <f t="shared" si="10"/>
        <v>100</v>
      </c>
    </row>
    <row r="33" spans="1:10" ht="36" x14ac:dyDescent="0.25">
      <c r="A33" s="161" t="s">
        <v>506</v>
      </c>
      <c r="B33" s="168">
        <v>1043</v>
      </c>
      <c r="C33" s="160">
        <f t="shared" si="2"/>
        <v>0</v>
      </c>
      <c r="D33" s="277">
        <f t="shared" si="3"/>
        <v>0</v>
      </c>
      <c r="E33" s="277">
        <f t="shared" si="4"/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</row>
    <row r="34" spans="1:10" x14ac:dyDescent="0.25">
      <c r="A34" s="169" t="s">
        <v>507</v>
      </c>
      <c r="B34" s="170" t="s">
        <v>391</v>
      </c>
      <c r="C34" s="160">
        <f t="shared" si="2"/>
        <v>0</v>
      </c>
      <c r="D34" s="277">
        <f t="shared" si="3"/>
        <v>0</v>
      </c>
      <c r="E34" s="277">
        <f t="shared" si="4"/>
        <v>0</v>
      </c>
      <c r="F34" s="277">
        <v>0</v>
      </c>
      <c r="G34" s="277">
        <v>0</v>
      </c>
      <c r="H34" s="277">
        <v>0</v>
      </c>
      <c r="I34" s="277">
        <v>0</v>
      </c>
      <c r="J34" s="277">
        <v>0</v>
      </c>
    </row>
    <row r="35" spans="1:10" ht="24" x14ac:dyDescent="0.25">
      <c r="A35" s="169" t="s">
        <v>508</v>
      </c>
      <c r="B35" s="170" t="s">
        <v>392</v>
      </c>
      <c r="C35" s="160">
        <f t="shared" si="2"/>
        <v>0</v>
      </c>
      <c r="D35" s="277">
        <f t="shared" si="3"/>
        <v>0</v>
      </c>
      <c r="E35" s="160">
        <v>0</v>
      </c>
      <c r="F35" s="160">
        <v>0</v>
      </c>
      <c r="G35" s="160">
        <v>0</v>
      </c>
      <c r="H35" s="160">
        <v>0</v>
      </c>
      <c r="I35" s="157">
        <f t="shared" si="9"/>
        <v>0</v>
      </c>
      <c r="J35" s="157">
        <v>0</v>
      </c>
    </row>
    <row r="36" spans="1:10" x14ac:dyDescent="0.25">
      <c r="A36" s="171" t="s">
        <v>38</v>
      </c>
      <c r="B36" s="172">
        <v>1050</v>
      </c>
      <c r="C36" s="160">
        <f t="shared" si="2"/>
        <v>0</v>
      </c>
      <c r="D36" s="277">
        <f t="shared" si="3"/>
        <v>335.27499999999998</v>
      </c>
      <c r="E36" s="160">
        <v>0</v>
      </c>
      <c r="F36" s="160">
        <v>0</v>
      </c>
      <c r="G36" s="160">
        <f>SUM(G37:G42)</f>
        <v>0</v>
      </c>
      <c r="H36" s="275">
        <f>SUM(H37:H42)</f>
        <v>1341.1</v>
      </c>
      <c r="I36" s="157">
        <f t="shared" si="9"/>
        <v>1341.1</v>
      </c>
      <c r="J36" s="157">
        <v>0</v>
      </c>
    </row>
    <row r="37" spans="1:10" x14ac:dyDescent="0.25">
      <c r="A37" s="173" t="s">
        <v>39</v>
      </c>
      <c r="B37" s="174">
        <v>1051</v>
      </c>
      <c r="C37" s="160">
        <f t="shared" si="2"/>
        <v>0</v>
      </c>
      <c r="D37" s="277">
        <f t="shared" si="3"/>
        <v>0</v>
      </c>
      <c r="E37" s="160">
        <v>0</v>
      </c>
      <c r="F37" s="160">
        <v>0</v>
      </c>
      <c r="G37" s="160"/>
      <c r="H37" s="160"/>
      <c r="I37" s="157">
        <f t="shared" si="9"/>
        <v>0</v>
      </c>
      <c r="J37" s="157">
        <v>0</v>
      </c>
    </row>
    <row r="38" spans="1:10" x14ac:dyDescent="0.25">
      <c r="A38" s="173" t="s">
        <v>40</v>
      </c>
      <c r="B38" s="174">
        <v>1052</v>
      </c>
      <c r="C38" s="160">
        <f t="shared" si="2"/>
        <v>0</v>
      </c>
      <c r="D38" s="277">
        <f t="shared" si="3"/>
        <v>0</v>
      </c>
      <c r="E38" s="160">
        <v>0</v>
      </c>
      <c r="F38" s="160">
        <v>0</v>
      </c>
      <c r="G38" s="160"/>
      <c r="H38" s="160"/>
      <c r="I38" s="157">
        <f t="shared" si="9"/>
        <v>0</v>
      </c>
      <c r="J38" s="157">
        <v>0</v>
      </c>
    </row>
    <row r="39" spans="1:10" ht="24" x14ac:dyDescent="0.25">
      <c r="A39" s="173" t="s">
        <v>41</v>
      </c>
      <c r="B39" s="174">
        <v>1053</v>
      </c>
      <c r="C39" s="160">
        <f t="shared" si="2"/>
        <v>0</v>
      </c>
      <c r="D39" s="277">
        <f t="shared" si="3"/>
        <v>0</v>
      </c>
      <c r="E39" s="160">
        <v>0</v>
      </c>
      <c r="F39" s="160">
        <v>0</v>
      </c>
      <c r="G39" s="160"/>
      <c r="H39" s="160"/>
      <c r="I39" s="157">
        <f t="shared" si="9"/>
        <v>0</v>
      </c>
      <c r="J39" s="157">
        <v>0</v>
      </c>
    </row>
    <row r="40" spans="1:10" x14ac:dyDescent="0.25">
      <c r="A40" s="175" t="s">
        <v>42</v>
      </c>
      <c r="B40" s="174">
        <v>1054</v>
      </c>
      <c r="C40" s="160">
        <f t="shared" si="2"/>
        <v>0</v>
      </c>
      <c r="D40" s="277">
        <f t="shared" si="3"/>
        <v>0</v>
      </c>
      <c r="E40" s="160">
        <v>0</v>
      </c>
      <c r="F40" s="160">
        <v>0</v>
      </c>
      <c r="G40" s="160"/>
      <c r="H40" s="160"/>
      <c r="I40" s="157">
        <f t="shared" si="9"/>
        <v>0</v>
      </c>
      <c r="J40" s="157">
        <v>0</v>
      </c>
    </row>
    <row r="41" spans="1:10" ht="24" x14ac:dyDescent="0.25">
      <c r="A41" s="173" t="s">
        <v>528</v>
      </c>
      <c r="B41" s="174">
        <v>1055</v>
      </c>
      <c r="C41" s="160">
        <f t="shared" si="2"/>
        <v>0</v>
      </c>
      <c r="D41" s="277">
        <f t="shared" si="3"/>
        <v>10.35</v>
      </c>
      <c r="E41" s="160">
        <v>0</v>
      </c>
      <c r="F41" s="160">
        <v>0</v>
      </c>
      <c r="G41" s="160">
        <v>0</v>
      </c>
      <c r="H41" s="160">
        <v>41.4</v>
      </c>
      <c r="I41" s="157">
        <f t="shared" si="9"/>
        <v>41.4</v>
      </c>
      <c r="J41" s="157">
        <v>0</v>
      </c>
    </row>
    <row r="42" spans="1:10" x14ac:dyDescent="0.25">
      <c r="A42" s="175" t="s">
        <v>525</v>
      </c>
      <c r="B42" s="162">
        <v>1056</v>
      </c>
      <c r="C42" s="160">
        <f t="shared" si="2"/>
        <v>0</v>
      </c>
      <c r="D42" s="277">
        <f t="shared" si="3"/>
        <v>324.92499999999995</v>
      </c>
      <c r="E42" s="160">
        <v>0</v>
      </c>
      <c r="F42" s="160">
        <v>0</v>
      </c>
      <c r="G42" s="160">
        <v>0</v>
      </c>
      <c r="H42" s="160">
        <f>1706.8-407.1</f>
        <v>1299.6999999999998</v>
      </c>
      <c r="I42" s="157">
        <f t="shared" si="9"/>
        <v>1299.6999999999998</v>
      </c>
      <c r="J42" s="157">
        <v>0</v>
      </c>
    </row>
    <row r="43" spans="1:10" x14ac:dyDescent="0.25">
      <c r="A43" s="417" t="s">
        <v>46</v>
      </c>
      <c r="B43" s="417"/>
      <c r="C43" s="417"/>
      <c r="D43" s="417"/>
      <c r="E43" s="417"/>
      <c r="F43" s="417"/>
      <c r="G43" s="417"/>
      <c r="H43" s="417"/>
      <c r="I43" s="417"/>
      <c r="J43" s="417"/>
    </row>
    <row r="44" spans="1:10" ht="24" x14ac:dyDescent="0.25">
      <c r="A44" s="158" t="s">
        <v>47</v>
      </c>
      <c r="B44" s="172">
        <v>1100</v>
      </c>
      <c r="C44" s="278">
        <f>G44/4</f>
        <v>19416.7</v>
      </c>
      <c r="D44" s="278">
        <f>H44/4</f>
        <v>15548.099999999999</v>
      </c>
      <c r="E44" s="278">
        <f t="shared" ref="E44" si="11">D44-C44</f>
        <v>-3868.6000000000022</v>
      </c>
      <c r="F44" s="278">
        <f t="shared" ref="F44" si="12">(D44/C44)*100</f>
        <v>80.075914032765596</v>
      </c>
      <c r="G44" s="275">
        <f>G45+G52+G56+G57+G58+G59+G60+G61+G62+G63</f>
        <v>77666.8</v>
      </c>
      <c r="H44" s="275">
        <f>H45+H52+H56+H57+H58+H59+H60+H61+H62+H63</f>
        <v>62192.399999999994</v>
      </c>
      <c r="I44" s="278">
        <f t="shared" ref="I44" si="13">H44-G44</f>
        <v>-15474.400000000009</v>
      </c>
      <c r="J44" s="278">
        <f t="shared" ref="J44" si="14">(H44/G44)*100</f>
        <v>80.075914032765596</v>
      </c>
    </row>
    <row r="45" spans="1:10" x14ac:dyDescent="0.25">
      <c r="A45" s="173" t="s">
        <v>260</v>
      </c>
      <c r="B45" s="176">
        <v>1110</v>
      </c>
      <c r="C45" s="278">
        <f t="shared" ref="C45:C109" si="15">G45/4</f>
        <v>1089.175</v>
      </c>
      <c r="D45" s="278">
        <f t="shared" ref="D45:D106" si="16">H45/4</f>
        <v>888.55000000000007</v>
      </c>
      <c r="E45" s="278">
        <f t="shared" ref="E45:E106" si="17">D45-C45</f>
        <v>-200.62499999999989</v>
      </c>
      <c r="F45" s="278">
        <f t="shared" ref="F45:F106" si="18">(D45/C45)*100</f>
        <v>81.580095026051836</v>
      </c>
      <c r="G45" s="275">
        <f>SUM(G46:G51)</f>
        <v>4356.7</v>
      </c>
      <c r="H45" s="275">
        <f>SUM(H46:H51)</f>
        <v>3554.2000000000003</v>
      </c>
      <c r="I45" s="278">
        <f t="shared" ref="I45:I106" si="19">H45-G45</f>
        <v>-802.49999999999955</v>
      </c>
      <c r="J45" s="278">
        <f t="shared" ref="J45:J106" si="20">(H45/G45)*100</f>
        <v>81.580095026051836</v>
      </c>
    </row>
    <row r="46" spans="1:10" x14ac:dyDescent="0.25">
      <c r="A46" s="177" t="s">
        <v>261</v>
      </c>
      <c r="B46" s="178">
        <v>1111</v>
      </c>
      <c r="C46" s="277">
        <f t="shared" si="15"/>
        <v>339.75</v>
      </c>
      <c r="D46" s="277">
        <f t="shared" si="16"/>
        <v>356.62500000000006</v>
      </c>
      <c r="E46" s="278">
        <f t="shared" si="17"/>
        <v>16.875000000000057</v>
      </c>
      <c r="F46" s="278">
        <f t="shared" si="18"/>
        <v>104.96688741721856</v>
      </c>
      <c r="G46" s="277">
        <v>1359</v>
      </c>
      <c r="H46" s="160">
        <f>204.5+793.7+240.9+187.4</f>
        <v>1426.5000000000002</v>
      </c>
      <c r="I46" s="277">
        <f t="shared" si="19"/>
        <v>67.500000000000227</v>
      </c>
      <c r="J46" s="277">
        <f t="shared" si="20"/>
        <v>104.96688741721856</v>
      </c>
    </row>
    <row r="47" spans="1:10" x14ac:dyDescent="0.25">
      <c r="A47" s="179" t="s">
        <v>265</v>
      </c>
      <c r="B47" s="178">
        <v>1112</v>
      </c>
      <c r="C47" s="277">
        <f t="shared" si="15"/>
        <v>31.875</v>
      </c>
      <c r="D47" s="277">
        <f t="shared" si="16"/>
        <v>0</v>
      </c>
      <c r="E47" s="278">
        <f t="shared" si="17"/>
        <v>-31.875</v>
      </c>
      <c r="F47" s="278">
        <f t="shared" si="18"/>
        <v>0</v>
      </c>
      <c r="G47" s="277">
        <v>127.5</v>
      </c>
      <c r="H47" s="160">
        <v>0</v>
      </c>
      <c r="I47" s="277">
        <f t="shared" si="19"/>
        <v>-127.5</v>
      </c>
      <c r="J47" s="277">
        <f t="shared" si="20"/>
        <v>0</v>
      </c>
    </row>
    <row r="48" spans="1:10" x14ac:dyDescent="0.25">
      <c r="A48" s="180" t="s">
        <v>266</v>
      </c>
      <c r="B48" s="178">
        <v>1113</v>
      </c>
      <c r="C48" s="277">
        <f t="shared" si="15"/>
        <v>57.674999999999997</v>
      </c>
      <c r="D48" s="277">
        <f t="shared" si="16"/>
        <v>86.45</v>
      </c>
      <c r="E48" s="278">
        <f t="shared" si="17"/>
        <v>28.775000000000006</v>
      </c>
      <c r="F48" s="278">
        <f t="shared" si="18"/>
        <v>149.89163415691377</v>
      </c>
      <c r="G48" s="277">
        <v>230.7</v>
      </c>
      <c r="H48" s="160">
        <v>345.8</v>
      </c>
      <c r="I48" s="277">
        <f t="shared" si="19"/>
        <v>115.10000000000002</v>
      </c>
      <c r="J48" s="277">
        <f t="shared" si="20"/>
        <v>149.89163415691377</v>
      </c>
    </row>
    <row r="49" spans="1:10" x14ac:dyDescent="0.25">
      <c r="A49" s="181" t="s">
        <v>377</v>
      </c>
      <c r="B49" s="178">
        <v>1114</v>
      </c>
      <c r="C49" s="277">
        <f t="shared" si="15"/>
        <v>14.074999999999999</v>
      </c>
      <c r="D49" s="277">
        <f t="shared" si="16"/>
        <v>28.024999999999999</v>
      </c>
      <c r="E49" s="278">
        <f t="shared" si="17"/>
        <v>13.95</v>
      </c>
      <c r="F49" s="278">
        <f t="shared" si="18"/>
        <v>199.11190053285966</v>
      </c>
      <c r="G49" s="277">
        <v>56.3</v>
      </c>
      <c r="H49" s="160">
        <f>68.8+0.6+0.6+8.2+0.4+17.7+5.6+10.2</f>
        <v>112.1</v>
      </c>
      <c r="I49" s="277">
        <f t="shared" si="19"/>
        <v>55.8</v>
      </c>
      <c r="J49" s="277">
        <f t="shared" si="20"/>
        <v>199.11190053285966</v>
      </c>
    </row>
    <row r="50" spans="1:10" x14ac:dyDescent="0.25">
      <c r="A50" s="180" t="s">
        <v>378</v>
      </c>
      <c r="B50" s="178">
        <v>1115</v>
      </c>
      <c r="C50" s="277">
        <f t="shared" si="15"/>
        <v>56.3</v>
      </c>
      <c r="D50" s="277">
        <f t="shared" si="16"/>
        <v>4.625</v>
      </c>
      <c r="E50" s="278">
        <f t="shared" si="17"/>
        <v>-51.674999999999997</v>
      </c>
      <c r="F50" s="278">
        <f t="shared" si="18"/>
        <v>8.214920071047958</v>
      </c>
      <c r="G50" s="277">
        <v>225.2</v>
      </c>
      <c r="H50" s="160">
        <v>18.5</v>
      </c>
      <c r="I50" s="277">
        <f t="shared" si="19"/>
        <v>-206.7</v>
      </c>
      <c r="J50" s="277">
        <f t="shared" si="20"/>
        <v>8.214920071047958</v>
      </c>
    </row>
    <row r="51" spans="1:10" x14ac:dyDescent="0.25">
      <c r="A51" s="180" t="s">
        <v>379</v>
      </c>
      <c r="B51" s="178">
        <v>1116</v>
      </c>
      <c r="C51" s="277">
        <f t="shared" si="15"/>
        <v>589.5</v>
      </c>
      <c r="D51" s="277">
        <f t="shared" si="16"/>
        <v>412.82500000000005</v>
      </c>
      <c r="E51" s="278">
        <f t="shared" si="17"/>
        <v>-176.67499999999995</v>
      </c>
      <c r="F51" s="278">
        <f t="shared" si="18"/>
        <v>70.029686174724347</v>
      </c>
      <c r="G51" s="277">
        <v>2358</v>
      </c>
      <c r="H51" s="160">
        <f>189.4+1461.9</f>
        <v>1651.3000000000002</v>
      </c>
      <c r="I51" s="277">
        <f t="shared" si="19"/>
        <v>-706.69999999999982</v>
      </c>
      <c r="J51" s="277">
        <f t="shared" si="20"/>
        <v>70.029686174724347</v>
      </c>
    </row>
    <row r="52" spans="1:10" ht="24.75" x14ac:dyDescent="0.25">
      <c r="A52" s="182" t="s">
        <v>48</v>
      </c>
      <c r="B52" s="183">
        <v>1120</v>
      </c>
      <c r="C52" s="278">
        <f t="shared" si="15"/>
        <v>5881.95</v>
      </c>
      <c r="D52" s="278">
        <f t="shared" si="16"/>
        <v>4878.05</v>
      </c>
      <c r="E52" s="278">
        <f t="shared" si="17"/>
        <v>-1003.8999999999996</v>
      </c>
      <c r="F52" s="278">
        <f t="shared" si="18"/>
        <v>82.932530878365171</v>
      </c>
      <c r="G52" s="275">
        <f>SUM(G53:G55)</f>
        <v>23527.8</v>
      </c>
      <c r="H52" s="275">
        <f>SUM(H53:H55)</f>
        <v>19512.2</v>
      </c>
      <c r="I52" s="278">
        <f t="shared" si="19"/>
        <v>-4015.5999999999985</v>
      </c>
      <c r="J52" s="278">
        <f t="shared" si="20"/>
        <v>82.932530878365171</v>
      </c>
    </row>
    <row r="53" spans="1:10" x14ac:dyDescent="0.25">
      <c r="A53" s="181" t="s">
        <v>49</v>
      </c>
      <c r="B53" s="178">
        <v>1121</v>
      </c>
      <c r="C53" s="277">
        <f t="shared" si="15"/>
        <v>5804.2</v>
      </c>
      <c r="D53" s="277">
        <f t="shared" si="16"/>
        <v>4783.75</v>
      </c>
      <c r="E53" s="278">
        <f t="shared" si="17"/>
        <v>-1020.4499999999998</v>
      </c>
      <c r="F53" s="278">
        <f t="shared" si="18"/>
        <v>82.418765721374172</v>
      </c>
      <c r="G53" s="160">
        <v>23216.799999999999</v>
      </c>
      <c r="H53" s="160">
        <f>15499.9+3635.1</f>
        <v>19135</v>
      </c>
      <c r="I53" s="277">
        <f t="shared" si="19"/>
        <v>-4081.7999999999993</v>
      </c>
      <c r="J53" s="277">
        <f t="shared" si="20"/>
        <v>82.418765721374172</v>
      </c>
    </row>
    <row r="54" spans="1:10" x14ac:dyDescent="0.25">
      <c r="A54" s="181" t="s">
        <v>53</v>
      </c>
      <c r="B54" s="178">
        <v>1122</v>
      </c>
      <c r="C54" s="278">
        <f t="shared" si="15"/>
        <v>71.325000000000003</v>
      </c>
      <c r="D54" s="277">
        <f t="shared" si="16"/>
        <v>92.45</v>
      </c>
      <c r="E54" s="278">
        <f t="shared" si="17"/>
        <v>21.125</v>
      </c>
      <c r="F54" s="278">
        <f t="shared" si="18"/>
        <v>129.61794602173151</v>
      </c>
      <c r="G54" s="160">
        <v>285.3</v>
      </c>
      <c r="H54" s="160">
        <v>369.8</v>
      </c>
      <c r="I54" s="277">
        <f t="shared" si="19"/>
        <v>84.5</v>
      </c>
      <c r="J54" s="277">
        <f t="shared" si="20"/>
        <v>129.61794602173151</v>
      </c>
    </row>
    <row r="55" spans="1:10" x14ac:dyDescent="0.25">
      <c r="A55" s="180" t="s">
        <v>380</v>
      </c>
      <c r="B55" s="184">
        <v>1123</v>
      </c>
      <c r="C55" s="278">
        <f t="shared" si="15"/>
        <v>6.4249999999999998</v>
      </c>
      <c r="D55" s="277">
        <f t="shared" si="16"/>
        <v>1.85</v>
      </c>
      <c r="E55" s="278">
        <f t="shared" si="17"/>
        <v>-4.5749999999999993</v>
      </c>
      <c r="F55" s="278">
        <f t="shared" si="18"/>
        <v>28.793774319066152</v>
      </c>
      <c r="G55" s="160">
        <v>25.7</v>
      </c>
      <c r="H55" s="160">
        <v>7.4</v>
      </c>
      <c r="I55" s="277">
        <f t="shared" si="19"/>
        <v>-18.299999999999997</v>
      </c>
      <c r="J55" s="277">
        <f t="shared" si="20"/>
        <v>28.793774319066152</v>
      </c>
    </row>
    <row r="56" spans="1:10" x14ac:dyDescent="0.25">
      <c r="A56" s="185" t="s">
        <v>513</v>
      </c>
      <c r="B56" s="186">
        <v>1130</v>
      </c>
      <c r="C56" s="278">
        <f t="shared" si="15"/>
        <v>529.5</v>
      </c>
      <c r="D56" s="278">
        <f t="shared" si="16"/>
        <v>93.074999999999989</v>
      </c>
      <c r="E56" s="278">
        <f t="shared" si="17"/>
        <v>-436.42500000000001</v>
      </c>
      <c r="F56" s="278">
        <f t="shared" si="18"/>
        <v>17.577903682719544</v>
      </c>
      <c r="G56" s="278">
        <v>2118</v>
      </c>
      <c r="H56" s="275">
        <f>229.3+5.6+5.7+63.6+68.1</f>
        <v>372.29999999999995</v>
      </c>
      <c r="I56" s="278">
        <f t="shared" si="19"/>
        <v>-1745.7</v>
      </c>
      <c r="J56" s="278">
        <f t="shared" si="20"/>
        <v>17.577903682719544</v>
      </c>
    </row>
    <row r="57" spans="1:10" x14ac:dyDescent="0.25">
      <c r="A57" s="182" t="s">
        <v>55</v>
      </c>
      <c r="B57" s="183">
        <v>1140</v>
      </c>
      <c r="C57" s="278">
        <f t="shared" si="15"/>
        <v>8536.7999999999993</v>
      </c>
      <c r="D57" s="278">
        <f t="shared" si="16"/>
        <v>6418.25</v>
      </c>
      <c r="E57" s="278">
        <f t="shared" si="17"/>
        <v>-2118.5499999999993</v>
      </c>
      <c r="F57" s="278">
        <f t="shared" si="18"/>
        <v>75.183323962140392</v>
      </c>
      <c r="G57" s="275">
        <v>34147.199999999997</v>
      </c>
      <c r="H57" s="275">
        <f>13714.9+11958.1</f>
        <v>25673</v>
      </c>
      <c r="I57" s="278">
        <f t="shared" si="19"/>
        <v>-8474.1999999999971</v>
      </c>
      <c r="J57" s="278">
        <f t="shared" si="20"/>
        <v>75.183323962140392</v>
      </c>
    </row>
    <row r="58" spans="1:10" x14ac:dyDescent="0.25">
      <c r="A58" s="182" t="s">
        <v>56</v>
      </c>
      <c r="B58" s="183">
        <v>1150</v>
      </c>
      <c r="C58" s="278">
        <f t="shared" si="15"/>
        <v>1878.2</v>
      </c>
      <c r="D58" s="278">
        <f t="shared" si="16"/>
        <v>1369.375</v>
      </c>
      <c r="E58" s="278">
        <f t="shared" si="17"/>
        <v>-508.82500000000005</v>
      </c>
      <c r="F58" s="278">
        <f t="shared" si="18"/>
        <v>72.908902140347138</v>
      </c>
      <c r="G58" s="275">
        <v>7512.8</v>
      </c>
      <c r="H58" s="275">
        <f>2875.7+2601.8</f>
        <v>5477.5</v>
      </c>
      <c r="I58" s="278">
        <f t="shared" si="19"/>
        <v>-2035.3000000000002</v>
      </c>
      <c r="J58" s="278">
        <f t="shared" si="20"/>
        <v>72.908902140347138</v>
      </c>
    </row>
    <row r="59" spans="1:10" x14ac:dyDescent="0.25">
      <c r="A59" s="185" t="s">
        <v>57</v>
      </c>
      <c r="B59" s="183">
        <v>1160</v>
      </c>
      <c r="C59" s="278">
        <f t="shared" si="15"/>
        <v>0.05</v>
      </c>
      <c r="D59" s="278">
        <f t="shared" si="16"/>
        <v>0.45</v>
      </c>
      <c r="E59" s="278">
        <f t="shared" si="17"/>
        <v>0.4</v>
      </c>
      <c r="F59" s="278">
        <f t="shared" si="18"/>
        <v>900</v>
      </c>
      <c r="G59" s="275">
        <v>0.2</v>
      </c>
      <c r="H59" s="275">
        <v>1.8</v>
      </c>
      <c r="I59" s="278">
        <f t="shared" si="19"/>
        <v>1.6</v>
      </c>
      <c r="J59" s="278">
        <f t="shared" si="20"/>
        <v>900</v>
      </c>
    </row>
    <row r="60" spans="1:10" x14ac:dyDescent="0.25">
      <c r="A60" s="182" t="s">
        <v>72</v>
      </c>
      <c r="B60" s="186">
        <v>1180</v>
      </c>
      <c r="C60" s="278">
        <f t="shared" si="15"/>
        <v>52.825000000000003</v>
      </c>
      <c r="D60" s="278">
        <f t="shared" si="16"/>
        <v>24.775000000000002</v>
      </c>
      <c r="E60" s="278">
        <f t="shared" si="17"/>
        <v>-28.05</v>
      </c>
      <c r="F60" s="278">
        <f t="shared" si="18"/>
        <v>46.90014197823001</v>
      </c>
      <c r="G60" s="275">
        <v>211.3</v>
      </c>
      <c r="H60" s="275">
        <f>25.7+15.7+20.3+9.9+27.5</f>
        <v>99.100000000000009</v>
      </c>
      <c r="I60" s="278">
        <f t="shared" si="19"/>
        <v>-112.2</v>
      </c>
      <c r="J60" s="278">
        <f t="shared" si="20"/>
        <v>46.90014197823001</v>
      </c>
    </row>
    <row r="61" spans="1:10" ht="36.75" x14ac:dyDescent="0.25">
      <c r="A61" s="182" t="s">
        <v>58</v>
      </c>
      <c r="B61" s="183">
        <v>1190</v>
      </c>
      <c r="C61" s="278">
        <f t="shared" si="15"/>
        <v>58.325000000000003</v>
      </c>
      <c r="D61" s="278">
        <f t="shared" si="16"/>
        <v>206.27500000000001</v>
      </c>
      <c r="E61" s="278">
        <f t="shared" si="17"/>
        <v>147.94999999999999</v>
      </c>
      <c r="F61" s="278">
        <f t="shared" si="18"/>
        <v>353.66480925846548</v>
      </c>
      <c r="G61" s="275">
        <v>233.3</v>
      </c>
      <c r="H61" s="275">
        <f>1.1+2.3+0.3+55.2+8.2+6.1+33.2+5.2+53.3+1.5+23.8+41.6+136.5+1.3+0.6+0.5+31.9+5.6+22.6+2.3+8.4+6.7+162.6+45.8+122+46.5</f>
        <v>825.1</v>
      </c>
      <c r="I61" s="278">
        <f t="shared" si="19"/>
        <v>591.79999999999995</v>
      </c>
      <c r="J61" s="278">
        <f t="shared" si="20"/>
        <v>353.66480925846548</v>
      </c>
    </row>
    <row r="62" spans="1:10" x14ac:dyDescent="0.25">
      <c r="A62" s="182" t="s">
        <v>59</v>
      </c>
      <c r="B62" s="183">
        <v>1200</v>
      </c>
      <c r="C62" s="278">
        <f t="shared" si="15"/>
        <v>975.07500000000005</v>
      </c>
      <c r="D62" s="278">
        <f t="shared" si="16"/>
        <v>1050.175</v>
      </c>
      <c r="E62" s="278">
        <f t="shared" si="17"/>
        <v>75.099999999999909</v>
      </c>
      <c r="F62" s="278">
        <f t="shared" si="18"/>
        <v>107.70197164320692</v>
      </c>
      <c r="G62" s="275">
        <v>3900.3</v>
      </c>
      <c r="H62" s="275">
        <f>3089.7+1111</f>
        <v>4200.7</v>
      </c>
      <c r="I62" s="278">
        <f t="shared" si="19"/>
        <v>300.39999999999964</v>
      </c>
      <c r="J62" s="278">
        <f t="shared" si="20"/>
        <v>107.70197164320692</v>
      </c>
    </row>
    <row r="63" spans="1:10" x14ac:dyDescent="0.25">
      <c r="A63" s="182" t="s">
        <v>60</v>
      </c>
      <c r="B63" s="183">
        <v>1210</v>
      </c>
      <c r="C63" s="278">
        <f t="shared" si="15"/>
        <v>414.8</v>
      </c>
      <c r="D63" s="278">
        <f t="shared" si="16"/>
        <v>619.125</v>
      </c>
      <c r="E63" s="278">
        <f t="shared" si="17"/>
        <v>204.32499999999999</v>
      </c>
      <c r="F63" s="278">
        <f t="shared" si="18"/>
        <v>149.25867888138862</v>
      </c>
      <c r="G63" s="275">
        <v>1659.2</v>
      </c>
      <c r="H63" s="275">
        <f>SUM(H64:H68)</f>
        <v>2476.5</v>
      </c>
      <c r="I63" s="278">
        <f t="shared" si="19"/>
        <v>817.3</v>
      </c>
      <c r="J63" s="278">
        <f t="shared" si="20"/>
        <v>149.25867888138862</v>
      </c>
    </row>
    <row r="64" spans="1:10" x14ac:dyDescent="0.25">
      <c r="A64" s="182" t="s">
        <v>510</v>
      </c>
      <c r="B64" s="178">
        <v>1211</v>
      </c>
      <c r="C64" s="277">
        <f t="shared" si="15"/>
        <v>29.175000000000001</v>
      </c>
      <c r="D64" s="277">
        <f t="shared" si="16"/>
        <v>29.175000000000001</v>
      </c>
      <c r="E64" s="278">
        <f t="shared" si="17"/>
        <v>0</v>
      </c>
      <c r="F64" s="278">
        <f t="shared" si="18"/>
        <v>100</v>
      </c>
      <c r="G64" s="160">
        <v>116.7</v>
      </c>
      <c r="H64" s="160">
        <v>116.7</v>
      </c>
      <c r="I64" s="277">
        <f t="shared" si="19"/>
        <v>0</v>
      </c>
      <c r="J64" s="277">
        <f t="shared" si="20"/>
        <v>100</v>
      </c>
    </row>
    <row r="65" spans="1:10" x14ac:dyDescent="0.25">
      <c r="A65" s="182" t="s">
        <v>511</v>
      </c>
      <c r="B65" s="178">
        <v>1212</v>
      </c>
      <c r="C65" s="277">
        <f t="shared" si="15"/>
        <v>8.9</v>
      </c>
      <c r="D65" s="277">
        <f t="shared" si="16"/>
        <v>8.9</v>
      </c>
      <c r="E65" s="278">
        <f t="shared" si="17"/>
        <v>0</v>
      </c>
      <c r="F65" s="278">
        <f t="shared" si="18"/>
        <v>100</v>
      </c>
      <c r="G65" s="160">
        <v>35.6</v>
      </c>
      <c r="H65" s="160">
        <f>20.8+14.8</f>
        <v>35.6</v>
      </c>
      <c r="I65" s="277">
        <f t="shared" si="19"/>
        <v>0</v>
      </c>
      <c r="J65" s="277">
        <f t="shared" si="20"/>
        <v>100</v>
      </c>
    </row>
    <row r="66" spans="1:10" x14ac:dyDescent="0.25">
      <c r="A66" s="182" t="s">
        <v>512</v>
      </c>
      <c r="B66" s="178">
        <v>1213</v>
      </c>
      <c r="C66" s="277">
        <f t="shared" si="15"/>
        <v>35.5</v>
      </c>
      <c r="D66" s="277">
        <f t="shared" si="16"/>
        <v>35.5</v>
      </c>
      <c r="E66" s="278">
        <f t="shared" si="17"/>
        <v>0</v>
      </c>
      <c r="F66" s="278">
        <f t="shared" si="18"/>
        <v>100</v>
      </c>
      <c r="G66" s="277">
        <v>142</v>
      </c>
      <c r="H66" s="160">
        <v>142</v>
      </c>
      <c r="I66" s="277">
        <f t="shared" si="19"/>
        <v>0</v>
      </c>
      <c r="J66" s="277">
        <f t="shared" si="20"/>
        <v>100</v>
      </c>
    </row>
    <row r="67" spans="1:10" x14ac:dyDescent="0.25">
      <c r="A67" s="182" t="s">
        <v>514</v>
      </c>
      <c r="B67" s="178">
        <v>1214</v>
      </c>
      <c r="C67" s="277">
        <f t="shared" si="15"/>
        <v>50.6</v>
      </c>
      <c r="D67" s="277">
        <f t="shared" si="16"/>
        <v>50.6</v>
      </c>
      <c r="E67" s="278">
        <f t="shared" si="17"/>
        <v>0</v>
      </c>
      <c r="F67" s="278">
        <f t="shared" si="18"/>
        <v>100</v>
      </c>
      <c r="G67" s="160">
        <v>202.4</v>
      </c>
      <c r="H67" s="160">
        <v>202.4</v>
      </c>
      <c r="I67" s="277">
        <f t="shared" si="19"/>
        <v>0</v>
      </c>
      <c r="J67" s="277">
        <f t="shared" si="20"/>
        <v>100</v>
      </c>
    </row>
    <row r="68" spans="1:10" x14ac:dyDescent="0.25">
      <c r="A68" s="182" t="s">
        <v>441</v>
      </c>
      <c r="B68" s="178">
        <v>1215</v>
      </c>
      <c r="C68" s="277">
        <f t="shared" si="15"/>
        <v>414.8</v>
      </c>
      <c r="D68" s="277">
        <f t="shared" si="16"/>
        <v>494.95</v>
      </c>
      <c r="E68" s="278">
        <f t="shared" si="17"/>
        <v>80.149999999999977</v>
      </c>
      <c r="F68" s="278">
        <f t="shared" si="18"/>
        <v>119.32256509161041</v>
      </c>
      <c r="G68" s="160">
        <v>1659.2</v>
      </c>
      <c r="H68" s="160">
        <f>265.2+1437.8+276.8</f>
        <v>1979.8</v>
      </c>
      <c r="I68" s="277">
        <f t="shared" si="19"/>
        <v>320.59999999999991</v>
      </c>
      <c r="J68" s="277">
        <f t="shared" si="20"/>
        <v>119.32256509161041</v>
      </c>
    </row>
    <row r="69" spans="1:10" x14ac:dyDescent="0.25">
      <c r="A69" s="187" t="s">
        <v>61</v>
      </c>
      <c r="B69" s="188">
        <v>1300</v>
      </c>
      <c r="C69" s="278">
        <f t="shared" si="15"/>
        <v>2495.625</v>
      </c>
      <c r="D69" s="278">
        <f t="shared" si="16"/>
        <v>2006.75</v>
      </c>
      <c r="E69" s="278">
        <f t="shared" si="17"/>
        <v>-488.875</v>
      </c>
      <c r="F69" s="278">
        <f t="shared" si="18"/>
        <v>80.410718757826189</v>
      </c>
      <c r="G69" s="275">
        <f>SUM(G77:G84)+G70+G86+G87</f>
        <v>9982.5</v>
      </c>
      <c r="H69" s="278">
        <f>SUM(H77:H84)+H70+H86+H87</f>
        <v>8027</v>
      </c>
      <c r="I69" s="278">
        <f t="shared" si="19"/>
        <v>-1955.5</v>
      </c>
      <c r="J69" s="278">
        <f t="shared" si="20"/>
        <v>80.410718757826189</v>
      </c>
    </row>
    <row r="70" spans="1:10" x14ac:dyDescent="0.25">
      <c r="A70" s="173" t="s">
        <v>62</v>
      </c>
      <c r="B70" s="188">
        <v>1310</v>
      </c>
      <c r="C70" s="278">
        <f t="shared" si="15"/>
        <v>81.975000000000009</v>
      </c>
      <c r="D70" s="278">
        <f t="shared" si="16"/>
        <v>68.7</v>
      </c>
      <c r="E70" s="278">
        <f t="shared" si="17"/>
        <v>-13.275000000000006</v>
      </c>
      <c r="F70" s="278">
        <f t="shared" si="18"/>
        <v>83.806038426349488</v>
      </c>
      <c r="G70" s="275">
        <f>SUM(G71:G75)</f>
        <v>327.90000000000003</v>
      </c>
      <c r="H70" s="275">
        <f>SUM(H71:H75)</f>
        <v>274.8</v>
      </c>
      <c r="I70" s="278">
        <f t="shared" si="19"/>
        <v>-53.100000000000023</v>
      </c>
      <c r="J70" s="278">
        <f t="shared" si="20"/>
        <v>83.806038426349488</v>
      </c>
    </row>
    <row r="71" spans="1:10" ht="24.75" x14ac:dyDescent="0.25">
      <c r="A71" s="181" t="s">
        <v>381</v>
      </c>
      <c r="B71" s="178">
        <v>1311</v>
      </c>
      <c r="C71" s="277">
        <f t="shared" si="15"/>
        <v>62.3</v>
      </c>
      <c r="D71" s="277">
        <f t="shared" si="16"/>
        <v>53.074999999999996</v>
      </c>
      <c r="E71" s="278">
        <f t="shared" si="17"/>
        <v>-9.2250000000000014</v>
      </c>
      <c r="F71" s="278">
        <f t="shared" si="18"/>
        <v>85.192616372391655</v>
      </c>
      <c r="G71" s="160">
        <v>249.2</v>
      </c>
      <c r="H71" s="160">
        <f>206.1+5.6+0.6</f>
        <v>212.29999999999998</v>
      </c>
      <c r="I71" s="277">
        <f t="shared" si="19"/>
        <v>-36.900000000000006</v>
      </c>
      <c r="J71" s="277">
        <f t="shared" si="20"/>
        <v>85.192616372391655</v>
      </c>
    </row>
    <row r="72" spans="1:10" ht="24.75" x14ac:dyDescent="0.25">
      <c r="A72" s="181" t="s">
        <v>64</v>
      </c>
      <c r="B72" s="178">
        <v>1312</v>
      </c>
      <c r="C72" s="277">
        <f t="shared" si="15"/>
        <v>7.15</v>
      </c>
      <c r="D72" s="277">
        <f t="shared" si="16"/>
        <v>9.1000000000000014</v>
      </c>
      <c r="E72" s="278">
        <f t="shared" si="17"/>
        <v>1.9500000000000011</v>
      </c>
      <c r="F72" s="278">
        <f t="shared" si="18"/>
        <v>127.27272727272729</v>
      </c>
      <c r="G72" s="160">
        <v>28.6</v>
      </c>
      <c r="H72" s="160">
        <f>5.2+29.5+1.7</f>
        <v>36.400000000000006</v>
      </c>
      <c r="I72" s="277">
        <f t="shared" si="19"/>
        <v>7.8000000000000043</v>
      </c>
      <c r="J72" s="277">
        <f t="shared" si="20"/>
        <v>127.27272727272729</v>
      </c>
    </row>
    <row r="73" spans="1:10" x14ac:dyDescent="0.25">
      <c r="A73" s="181" t="s">
        <v>65</v>
      </c>
      <c r="B73" s="178">
        <v>1313</v>
      </c>
      <c r="C73" s="277">
        <f t="shared" si="15"/>
        <v>1.0249999999999999</v>
      </c>
      <c r="D73" s="277">
        <f t="shared" si="16"/>
        <v>0.45</v>
      </c>
      <c r="E73" s="278">
        <f t="shared" si="17"/>
        <v>-0.57499999999999996</v>
      </c>
      <c r="F73" s="278">
        <f t="shared" si="18"/>
        <v>43.902439024390247</v>
      </c>
      <c r="G73" s="160">
        <v>4.0999999999999996</v>
      </c>
      <c r="H73" s="160">
        <v>1.8</v>
      </c>
      <c r="I73" s="277">
        <f t="shared" si="19"/>
        <v>-2.2999999999999998</v>
      </c>
      <c r="J73" s="277">
        <f t="shared" si="20"/>
        <v>43.902439024390247</v>
      </c>
    </row>
    <row r="74" spans="1:10" x14ac:dyDescent="0.25">
      <c r="A74" s="181" t="s">
        <v>66</v>
      </c>
      <c r="B74" s="178">
        <v>1314</v>
      </c>
      <c r="C74" s="277">
        <f t="shared" si="15"/>
        <v>7.7249999999999996</v>
      </c>
      <c r="D74" s="277">
        <f t="shared" si="16"/>
        <v>0.8</v>
      </c>
      <c r="E74" s="278">
        <f t="shared" si="17"/>
        <v>-6.9249999999999998</v>
      </c>
      <c r="F74" s="278">
        <f t="shared" si="18"/>
        <v>10.355987055016183</v>
      </c>
      <c r="G74" s="160">
        <v>30.9</v>
      </c>
      <c r="H74" s="160">
        <f>3.2</f>
        <v>3.2</v>
      </c>
      <c r="I74" s="277">
        <f t="shared" si="19"/>
        <v>-27.7</v>
      </c>
      <c r="J74" s="277">
        <f t="shared" si="20"/>
        <v>10.355987055016183</v>
      </c>
    </row>
    <row r="75" spans="1:10" x14ac:dyDescent="0.25">
      <c r="A75" s="181" t="s">
        <v>67</v>
      </c>
      <c r="B75" s="178">
        <v>1315</v>
      </c>
      <c r="C75" s="277">
        <f t="shared" si="15"/>
        <v>3.7749999999999999</v>
      </c>
      <c r="D75" s="277">
        <f t="shared" si="16"/>
        <v>5.2750000000000004</v>
      </c>
      <c r="E75" s="278">
        <f t="shared" si="17"/>
        <v>1.5000000000000004</v>
      </c>
      <c r="F75" s="278">
        <f t="shared" si="18"/>
        <v>139.73509933774835</v>
      </c>
      <c r="G75" s="160">
        <v>15.1</v>
      </c>
      <c r="H75" s="160">
        <f>18.1+3</f>
        <v>21.1</v>
      </c>
      <c r="I75" s="277">
        <f t="shared" si="19"/>
        <v>6.0000000000000018</v>
      </c>
      <c r="J75" s="277">
        <f t="shared" si="20"/>
        <v>139.73509933774835</v>
      </c>
    </row>
    <row r="76" spans="1:10" x14ac:dyDescent="0.25">
      <c r="A76" s="181" t="s">
        <v>515</v>
      </c>
      <c r="B76" s="178">
        <v>1316</v>
      </c>
      <c r="C76" s="277">
        <f t="shared" si="15"/>
        <v>0</v>
      </c>
      <c r="D76" s="277">
        <f t="shared" si="16"/>
        <v>4.0250000000000004</v>
      </c>
      <c r="E76" s="278">
        <f t="shared" si="17"/>
        <v>4.0250000000000004</v>
      </c>
      <c r="F76" s="278">
        <v>0</v>
      </c>
      <c r="G76" s="160">
        <v>0</v>
      </c>
      <c r="H76" s="160">
        <v>16.100000000000001</v>
      </c>
      <c r="I76" s="277">
        <f t="shared" si="19"/>
        <v>16.100000000000001</v>
      </c>
      <c r="J76" s="277">
        <v>0</v>
      </c>
    </row>
    <row r="77" spans="1:10" x14ac:dyDescent="0.25">
      <c r="A77" s="182" t="s">
        <v>55</v>
      </c>
      <c r="B77" s="183">
        <v>1320</v>
      </c>
      <c r="C77" s="278">
        <f t="shared" si="15"/>
        <v>1744.25</v>
      </c>
      <c r="D77" s="278">
        <f t="shared" si="16"/>
        <v>1514.95</v>
      </c>
      <c r="E77" s="278">
        <f t="shared" si="17"/>
        <v>-229.29999999999995</v>
      </c>
      <c r="F77" s="278">
        <f t="shared" si="18"/>
        <v>86.853948688548087</v>
      </c>
      <c r="G77" s="275">
        <v>6977</v>
      </c>
      <c r="H77" s="275">
        <v>6059.8</v>
      </c>
      <c r="I77" s="278">
        <f t="shared" si="19"/>
        <v>-917.19999999999982</v>
      </c>
      <c r="J77" s="278">
        <f t="shared" si="20"/>
        <v>86.853948688548087</v>
      </c>
    </row>
    <row r="78" spans="1:10" x14ac:dyDescent="0.25">
      <c r="A78" s="182" t="s">
        <v>56</v>
      </c>
      <c r="B78" s="183">
        <v>1330</v>
      </c>
      <c r="C78" s="278">
        <f t="shared" si="15"/>
        <v>383.72500000000002</v>
      </c>
      <c r="D78" s="278">
        <f t="shared" si="16"/>
        <v>332.7</v>
      </c>
      <c r="E78" s="278">
        <f t="shared" si="17"/>
        <v>-51.025000000000034</v>
      </c>
      <c r="F78" s="278">
        <f t="shared" si="18"/>
        <v>86.702716789367372</v>
      </c>
      <c r="G78" s="275">
        <v>1534.9</v>
      </c>
      <c r="H78" s="275">
        <v>1330.8</v>
      </c>
      <c r="I78" s="278">
        <f t="shared" si="19"/>
        <v>-204.10000000000014</v>
      </c>
      <c r="J78" s="278">
        <f t="shared" si="20"/>
        <v>86.702716789367372</v>
      </c>
    </row>
    <row r="79" spans="1:10" x14ac:dyDescent="0.25">
      <c r="A79" s="185" t="s">
        <v>68</v>
      </c>
      <c r="B79" s="183">
        <v>1350</v>
      </c>
      <c r="C79" s="278">
        <f t="shared" si="15"/>
        <v>39.65</v>
      </c>
      <c r="D79" s="278">
        <f t="shared" si="16"/>
        <v>17.5</v>
      </c>
      <c r="E79" s="278">
        <f t="shared" si="17"/>
        <v>-22.15</v>
      </c>
      <c r="F79" s="278">
        <f t="shared" si="18"/>
        <v>44.136191677175283</v>
      </c>
      <c r="G79" s="275">
        <v>158.6</v>
      </c>
      <c r="H79" s="275">
        <v>70</v>
      </c>
      <c r="I79" s="278">
        <f t="shared" si="19"/>
        <v>-88.6</v>
      </c>
      <c r="J79" s="278">
        <f t="shared" si="20"/>
        <v>44.136191677175283</v>
      </c>
    </row>
    <row r="80" spans="1:10" x14ac:dyDescent="0.25">
      <c r="A80" s="185" t="s">
        <v>69</v>
      </c>
      <c r="B80" s="183">
        <v>1360</v>
      </c>
      <c r="C80" s="278">
        <f t="shared" si="15"/>
        <v>52.75</v>
      </c>
      <c r="D80" s="278">
        <f t="shared" si="16"/>
        <v>24.524999999999999</v>
      </c>
      <c r="E80" s="278">
        <f t="shared" si="17"/>
        <v>-28.225000000000001</v>
      </c>
      <c r="F80" s="278">
        <f t="shared" si="18"/>
        <v>46.492890995260659</v>
      </c>
      <c r="G80" s="278">
        <v>211</v>
      </c>
      <c r="H80" s="275">
        <f>81.5+5.8+1.2+9.6</f>
        <v>98.1</v>
      </c>
      <c r="I80" s="278">
        <f t="shared" si="19"/>
        <v>-112.9</v>
      </c>
      <c r="J80" s="278">
        <f t="shared" si="20"/>
        <v>46.492890995260659</v>
      </c>
    </row>
    <row r="81" spans="1:10" x14ac:dyDescent="0.25">
      <c r="A81" s="182" t="s">
        <v>70</v>
      </c>
      <c r="B81" s="183">
        <v>1370</v>
      </c>
      <c r="C81" s="278">
        <f t="shared" si="15"/>
        <v>32.15</v>
      </c>
      <c r="D81" s="278">
        <f t="shared" si="16"/>
        <v>15.225</v>
      </c>
      <c r="E81" s="278">
        <f t="shared" si="17"/>
        <v>-16.924999999999997</v>
      </c>
      <c r="F81" s="278">
        <f t="shared" si="18"/>
        <v>47.356143079315707</v>
      </c>
      <c r="G81" s="275">
        <v>128.6</v>
      </c>
      <c r="H81" s="275">
        <v>60.9</v>
      </c>
      <c r="I81" s="278">
        <f t="shared" si="19"/>
        <v>-67.699999999999989</v>
      </c>
      <c r="J81" s="278">
        <f t="shared" si="20"/>
        <v>47.356143079315707</v>
      </c>
    </row>
    <row r="82" spans="1:10" x14ac:dyDescent="0.25">
      <c r="A82" s="182" t="s">
        <v>72</v>
      </c>
      <c r="B82" s="183">
        <v>1420</v>
      </c>
      <c r="C82" s="278">
        <f t="shared" si="15"/>
        <v>3</v>
      </c>
      <c r="D82" s="278">
        <f t="shared" si="16"/>
        <v>1.0249999999999999</v>
      </c>
      <c r="E82" s="278">
        <f t="shared" si="17"/>
        <v>-1.9750000000000001</v>
      </c>
      <c r="F82" s="278">
        <f t="shared" si="18"/>
        <v>34.166666666666664</v>
      </c>
      <c r="G82" s="278">
        <v>12</v>
      </c>
      <c r="H82" s="275">
        <f>1.3+2.8</f>
        <v>4.0999999999999996</v>
      </c>
      <c r="I82" s="278">
        <f t="shared" si="19"/>
        <v>-7.9</v>
      </c>
      <c r="J82" s="278">
        <f t="shared" si="20"/>
        <v>34.166666666666664</v>
      </c>
    </row>
    <row r="83" spans="1:10" ht="24.75" x14ac:dyDescent="0.25">
      <c r="A83" s="185" t="s">
        <v>382</v>
      </c>
      <c r="B83" s="183">
        <v>1430</v>
      </c>
      <c r="C83" s="278">
        <f t="shared" si="15"/>
        <v>0</v>
      </c>
      <c r="D83" s="278">
        <f t="shared" si="16"/>
        <v>0</v>
      </c>
      <c r="E83" s="278">
        <f t="shared" si="17"/>
        <v>0</v>
      </c>
      <c r="F83" s="278">
        <v>0</v>
      </c>
      <c r="G83" s="275">
        <v>0</v>
      </c>
      <c r="H83" s="275">
        <v>0</v>
      </c>
      <c r="I83" s="278">
        <f t="shared" si="19"/>
        <v>0</v>
      </c>
      <c r="J83" s="278">
        <v>0</v>
      </c>
    </row>
    <row r="84" spans="1:10" x14ac:dyDescent="0.25">
      <c r="A84" s="182" t="s">
        <v>73</v>
      </c>
      <c r="B84" s="183">
        <v>1440</v>
      </c>
      <c r="C84" s="278">
        <f t="shared" si="15"/>
        <v>10.35</v>
      </c>
      <c r="D84" s="278">
        <f t="shared" si="16"/>
        <v>11.05</v>
      </c>
      <c r="E84" s="278">
        <f t="shared" si="17"/>
        <v>0.70000000000000107</v>
      </c>
      <c r="F84" s="278">
        <f t="shared" si="18"/>
        <v>106.7632850241546</v>
      </c>
      <c r="G84" s="275">
        <f>G85</f>
        <v>41.4</v>
      </c>
      <c r="H84" s="275">
        <f>H85</f>
        <v>44.2</v>
      </c>
      <c r="I84" s="278">
        <f t="shared" si="19"/>
        <v>2.8000000000000043</v>
      </c>
      <c r="J84" s="278">
        <f t="shared" si="20"/>
        <v>106.7632850241546</v>
      </c>
    </row>
    <row r="85" spans="1:10" x14ac:dyDescent="0.25">
      <c r="A85" s="182" t="s">
        <v>516</v>
      </c>
      <c r="B85" s="178">
        <v>1441</v>
      </c>
      <c r="C85" s="278">
        <f t="shared" si="15"/>
        <v>10.35</v>
      </c>
      <c r="D85" s="278">
        <f t="shared" si="16"/>
        <v>11.05</v>
      </c>
      <c r="E85" s="278">
        <f t="shared" si="17"/>
        <v>0.70000000000000107</v>
      </c>
      <c r="F85" s="278">
        <f t="shared" si="18"/>
        <v>106.7632850241546</v>
      </c>
      <c r="G85" s="275">
        <v>41.4</v>
      </c>
      <c r="H85" s="275">
        <f>3+41.2</f>
        <v>44.2</v>
      </c>
      <c r="I85" s="278">
        <f t="shared" si="19"/>
        <v>2.8000000000000043</v>
      </c>
      <c r="J85" s="278">
        <f t="shared" si="20"/>
        <v>106.7632850241546</v>
      </c>
    </row>
    <row r="86" spans="1:10" x14ac:dyDescent="0.25">
      <c r="A86" s="187" t="s">
        <v>59</v>
      </c>
      <c r="B86" s="183">
        <v>1450</v>
      </c>
      <c r="C86" s="278">
        <f t="shared" si="15"/>
        <v>64.5</v>
      </c>
      <c r="D86" s="278">
        <f t="shared" si="16"/>
        <v>15.35</v>
      </c>
      <c r="E86" s="278">
        <f t="shared" si="17"/>
        <v>-49.15</v>
      </c>
      <c r="F86" s="278">
        <f t="shared" si="18"/>
        <v>23.7984496124031</v>
      </c>
      <c r="G86" s="285">
        <v>258</v>
      </c>
      <c r="H86" s="275">
        <v>61.4</v>
      </c>
      <c r="I86" s="278">
        <f t="shared" si="19"/>
        <v>-196.6</v>
      </c>
      <c r="J86" s="278">
        <f t="shared" si="20"/>
        <v>23.7984496124031</v>
      </c>
    </row>
    <row r="87" spans="1:10" ht="15" customHeight="1" x14ac:dyDescent="0.25">
      <c r="A87" s="187" t="s">
        <v>74</v>
      </c>
      <c r="B87" s="188">
        <v>1460</v>
      </c>
      <c r="C87" s="278">
        <f t="shared" si="15"/>
        <v>83.275000000000006</v>
      </c>
      <c r="D87" s="278">
        <f t="shared" si="16"/>
        <v>5.7249999999999996</v>
      </c>
      <c r="E87" s="278">
        <f t="shared" si="17"/>
        <v>-77.550000000000011</v>
      </c>
      <c r="F87" s="278">
        <f t="shared" si="18"/>
        <v>6.8748123686580591</v>
      </c>
      <c r="G87" s="286">
        <v>333.1</v>
      </c>
      <c r="H87" s="275">
        <f>SUM(H88:H90)</f>
        <v>22.9</v>
      </c>
      <c r="I87" s="278">
        <f t="shared" si="19"/>
        <v>-310.20000000000005</v>
      </c>
      <c r="J87" s="278">
        <f t="shared" si="20"/>
        <v>6.8748123686580591</v>
      </c>
    </row>
    <row r="88" spans="1:10" x14ac:dyDescent="0.25">
      <c r="A88" s="182" t="s">
        <v>253</v>
      </c>
      <c r="B88" s="178">
        <v>1461</v>
      </c>
      <c r="C88" s="278">
        <f t="shared" si="15"/>
        <v>0</v>
      </c>
      <c r="D88" s="277">
        <f t="shared" si="16"/>
        <v>0.52500000000000002</v>
      </c>
      <c r="E88" s="278">
        <f t="shared" si="17"/>
        <v>0.52500000000000002</v>
      </c>
      <c r="F88" s="278">
        <v>0</v>
      </c>
      <c r="G88" s="160">
        <v>0</v>
      </c>
      <c r="H88" s="160">
        <v>2.1</v>
      </c>
      <c r="I88" s="277">
        <f t="shared" si="19"/>
        <v>2.1</v>
      </c>
      <c r="J88" s="277">
        <v>0</v>
      </c>
    </row>
    <row r="89" spans="1:10" x14ac:dyDescent="0.25">
      <c r="A89" s="182" t="s">
        <v>517</v>
      </c>
      <c r="B89" s="178">
        <v>1462</v>
      </c>
      <c r="C89" s="278">
        <f t="shared" si="15"/>
        <v>0</v>
      </c>
      <c r="D89" s="277">
        <f t="shared" si="16"/>
        <v>3.6749999999999998</v>
      </c>
      <c r="E89" s="278">
        <f t="shared" si="17"/>
        <v>3.6749999999999998</v>
      </c>
      <c r="F89" s="278">
        <v>0</v>
      </c>
      <c r="G89" s="160">
        <v>0</v>
      </c>
      <c r="H89" s="160">
        <v>14.7</v>
      </c>
      <c r="I89" s="277">
        <f t="shared" si="19"/>
        <v>14.7</v>
      </c>
      <c r="J89" s="277">
        <v>0</v>
      </c>
    </row>
    <row r="90" spans="1:10" x14ac:dyDescent="0.25">
      <c r="A90" s="182" t="s">
        <v>518</v>
      </c>
      <c r="B90" s="178">
        <v>1463</v>
      </c>
      <c r="C90" s="278">
        <f t="shared" si="15"/>
        <v>0</v>
      </c>
      <c r="D90" s="277">
        <f t="shared" si="16"/>
        <v>1.5249999999999999</v>
      </c>
      <c r="E90" s="278">
        <f t="shared" si="17"/>
        <v>1.5249999999999999</v>
      </c>
      <c r="F90" s="278">
        <v>0</v>
      </c>
      <c r="G90" s="160">
        <v>0</v>
      </c>
      <c r="H90" s="160">
        <v>6.1</v>
      </c>
      <c r="I90" s="277">
        <f t="shared" si="19"/>
        <v>6.1</v>
      </c>
      <c r="J90" s="277">
        <v>0</v>
      </c>
    </row>
    <row r="91" spans="1:10" x14ac:dyDescent="0.25">
      <c r="A91" s="189" t="s">
        <v>75</v>
      </c>
      <c r="B91" s="188">
        <v>1500</v>
      </c>
      <c r="C91" s="278">
        <f t="shared" si="15"/>
        <v>1049.9000000000001</v>
      </c>
      <c r="D91" s="278">
        <f t="shared" si="16"/>
        <v>758.90000000000009</v>
      </c>
      <c r="E91" s="278">
        <f t="shared" si="17"/>
        <v>-291</v>
      </c>
      <c r="F91" s="278">
        <f t="shared" si="18"/>
        <v>72.283074578531298</v>
      </c>
      <c r="G91" s="275">
        <f>SUM(G92:G96)</f>
        <v>4199.6000000000004</v>
      </c>
      <c r="H91" s="275">
        <f>SUM(H92:H96)</f>
        <v>3035.6000000000004</v>
      </c>
      <c r="I91" s="278">
        <f t="shared" si="19"/>
        <v>-1164</v>
      </c>
      <c r="J91" s="278">
        <f t="shared" si="20"/>
        <v>72.283074578531298</v>
      </c>
    </row>
    <row r="92" spans="1:10" x14ac:dyDescent="0.25">
      <c r="A92" s="185" t="s">
        <v>77</v>
      </c>
      <c r="B92" s="183">
        <v>1510</v>
      </c>
      <c r="C92" s="277">
        <f t="shared" si="15"/>
        <v>16.45</v>
      </c>
      <c r="D92" s="277">
        <f t="shared" si="16"/>
        <v>17.350000000000001</v>
      </c>
      <c r="E92" s="278">
        <f t="shared" si="17"/>
        <v>0.90000000000000213</v>
      </c>
      <c r="F92" s="278">
        <f t="shared" si="18"/>
        <v>105.47112462006081</v>
      </c>
      <c r="G92" s="160">
        <v>65.8</v>
      </c>
      <c r="H92" s="160">
        <v>69.400000000000006</v>
      </c>
      <c r="I92" s="277">
        <f t="shared" si="19"/>
        <v>3.6000000000000085</v>
      </c>
      <c r="J92" s="277">
        <f t="shared" si="20"/>
        <v>105.47112462006081</v>
      </c>
    </row>
    <row r="93" spans="1:10" x14ac:dyDescent="0.25">
      <c r="A93" s="185" t="s">
        <v>55</v>
      </c>
      <c r="B93" s="183">
        <v>1520</v>
      </c>
      <c r="C93" s="277">
        <f t="shared" si="15"/>
        <v>713.57500000000005</v>
      </c>
      <c r="D93" s="277">
        <f t="shared" si="16"/>
        <v>511.85</v>
      </c>
      <c r="E93" s="278">
        <f t="shared" si="17"/>
        <v>-201.72500000000002</v>
      </c>
      <c r="F93" s="278">
        <f t="shared" si="18"/>
        <v>71.730371719861267</v>
      </c>
      <c r="G93" s="160">
        <v>2854.3</v>
      </c>
      <c r="H93" s="160">
        <v>2047.4</v>
      </c>
      <c r="I93" s="277">
        <f t="shared" si="19"/>
        <v>-806.90000000000009</v>
      </c>
      <c r="J93" s="277">
        <f t="shared" si="20"/>
        <v>71.730371719861267</v>
      </c>
    </row>
    <row r="94" spans="1:10" x14ac:dyDescent="0.25">
      <c r="A94" s="185" t="s">
        <v>56</v>
      </c>
      <c r="B94" s="183">
        <v>1530</v>
      </c>
      <c r="C94" s="277">
        <f t="shared" si="15"/>
        <v>156.97499999999999</v>
      </c>
      <c r="D94" s="277">
        <f t="shared" si="16"/>
        <v>112.6</v>
      </c>
      <c r="E94" s="278">
        <f t="shared" si="17"/>
        <v>-44.375</v>
      </c>
      <c r="F94" s="278">
        <f t="shared" si="18"/>
        <v>71.731167383341301</v>
      </c>
      <c r="G94" s="160">
        <v>627.9</v>
      </c>
      <c r="H94" s="160">
        <v>450.4</v>
      </c>
      <c r="I94" s="277">
        <f t="shared" si="19"/>
        <v>-177.5</v>
      </c>
      <c r="J94" s="277">
        <f t="shared" si="20"/>
        <v>71.731167383341301</v>
      </c>
    </row>
    <row r="95" spans="1:10" x14ac:dyDescent="0.25">
      <c r="A95" s="185" t="s">
        <v>59</v>
      </c>
      <c r="B95" s="183">
        <v>1540</v>
      </c>
      <c r="C95" s="277">
        <f t="shared" si="15"/>
        <v>32.125</v>
      </c>
      <c r="D95" s="277">
        <f t="shared" si="16"/>
        <v>15.525</v>
      </c>
      <c r="E95" s="278">
        <f t="shared" si="17"/>
        <v>-16.600000000000001</v>
      </c>
      <c r="F95" s="278">
        <f t="shared" si="18"/>
        <v>48.326848249027236</v>
      </c>
      <c r="G95" s="160">
        <v>128.5</v>
      </c>
      <c r="H95" s="160">
        <v>62.1</v>
      </c>
      <c r="I95" s="277">
        <f t="shared" si="19"/>
        <v>-66.400000000000006</v>
      </c>
      <c r="J95" s="277">
        <f t="shared" si="20"/>
        <v>48.326848249027236</v>
      </c>
    </row>
    <row r="96" spans="1:10" x14ac:dyDescent="0.25">
      <c r="A96" s="185" t="s">
        <v>421</v>
      </c>
      <c r="B96" s="183">
        <v>1550</v>
      </c>
      <c r="C96" s="277">
        <f t="shared" si="15"/>
        <v>130.77500000000001</v>
      </c>
      <c r="D96" s="278">
        <f t="shared" si="16"/>
        <v>101.57500000000002</v>
      </c>
      <c r="E96" s="278">
        <f t="shared" si="17"/>
        <v>-29.199999999999989</v>
      </c>
      <c r="F96" s="278">
        <f t="shared" si="18"/>
        <v>77.671573312942087</v>
      </c>
      <c r="G96" s="275">
        <f>SUM(G97:G99)</f>
        <v>523.1</v>
      </c>
      <c r="H96" s="275">
        <f>SUM(H97:H99)</f>
        <v>406.30000000000007</v>
      </c>
      <c r="I96" s="278">
        <f t="shared" si="19"/>
        <v>-116.79999999999995</v>
      </c>
      <c r="J96" s="278">
        <f t="shared" si="20"/>
        <v>77.671573312942087</v>
      </c>
    </row>
    <row r="97" spans="1:10" x14ac:dyDescent="0.25">
      <c r="A97" s="185" t="s">
        <v>519</v>
      </c>
      <c r="B97" s="190">
        <v>1551</v>
      </c>
      <c r="C97" s="277">
        <f t="shared" si="15"/>
        <v>1.8</v>
      </c>
      <c r="D97" s="277">
        <f t="shared" si="16"/>
        <v>1.0249999999999999</v>
      </c>
      <c r="E97" s="278">
        <f t="shared" si="17"/>
        <v>-0.77500000000000013</v>
      </c>
      <c r="F97" s="278">
        <f t="shared" si="18"/>
        <v>56.944444444444443</v>
      </c>
      <c r="G97" s="160">
        <v>7.2</v>
      </c>
      <c r="H97" s="160">
        <f>1.3+2.8</f>
        <v>4.0999999999999996</v>
      </c>
      <c r="I97" s="277">
        <f t="shared" si="19"/>
        <v>-3.1000000000000005</v>
      </c>
      <c r="J97" s="277">
        <f t="shared" si="20"/>
        <v>56.944444444444443</v>
      </c>
    </row>
    <row r="98" spans="1:10" x14ac:dyDescent="0.25">
      <c r="A98" s="185" t="s">
        <v>520</v>
      </c>
      <c r="B98" s="190">
        <v>1552</v>
      </c>
      <c r="C98" s="277">
        <f t="shared" si="15"/>
        <v>115.75</v>
      </c>
      <c r="D98" s="277">
        <f t="shared" si="16"/>
        <v>90.775000000000006</v>
      </c>
      <c r="E98" s="278">
        <f t="shared" si="17"/>
        <v>-24.974999999999994</v>
      </c>
      <c r="F98" s="278">
        <f t="shared" si="18"/>
        <v>78.423326133909285</v>
      </c>
      <c r="G98" s="277">
        <v>463</v>
      </c>
      <c r="H98" s="160">
        <v>363.1</v>
      </c>
      <c r="I98" s="277">
        <f t="shared" si="19"/>
        <v>-99.899999999999977</v>
      </c>
      <c r="J98" s="277">
        <f t="shared" si="20"/>
        <v>78.423326133909285</v>
      </c>
    </row>
    <row r="99" spans="1:10" x14ac:dyDescent="0.25">
      <c r="A99" s="185" t="s">
        <v>521</v>
      </c>
      <c r="B99" s="190">
        <v>1553</v>
      </c>
      <c r="C99" s="277">
        <f t="shared" si="15"/>
        <v>13.225</v>
      </c>
      <c r="D99" s="277">
        <f t="shared" si="16"/>
        <v>9.7749999999999986</v>
      </c>
      <c r="E99" s="278">
        <f t="shared" si="17"/>
        <v>-3.4500000000000011</v>
      </c>
      <c r="F99" s="278">
        <f t="shared" si="18"/>
        <v>73.91304347826086</v>
      </c>
      <c r="G99" s="160">
        <v>52.9</v>
      </c>
      <c r="H99" s="160">
        <f>18.2+19.1+1.8</f>
        <v>39.099999999999994</v>
      </c>
      <c r="I99" s="277">
        <f t="shared" si="19"/>
        <v>-13.800000000000004</v>
      </c>
      <c r="J99" s="277">
        <f t="shared" si="20"/>
        <v>73.91304347826086</v>
      </c>
    </row>
    <row r="100" spans="1:10" ht="24" x14ac:dyDescent="0.25">
      <c r="A100" s="158" t="s">
        <v>423</v>
      </c>
      <c r="B100" s="191">
        <v>1600</v>
      </c>
      <c r="C100" s="278">
        <f t="shared" si="15"/>
        <v>1363.675</v>
      </c>
      <c r="D100" s="278">
        <f t="shared" si="16"/>
        <v>1328</v>
      </c>
      <c r="E100" s="278">
        <f t="shared" si="17"/>
        <v>-35.674999999999955</v>
      </c>
      <c r="F100" s="278">
        <f t="shared" si="18"/>
        <v>97.383907455955423</v>
      </c>
      <c r="G100" s="278">
        <f>SUM(G101:G104)</f>
        <v>5454.7</v>
      </c>
      <c r="H100" s="275">
        <f>SUM(H101:H104)</f>
        <v>5312</v>
      </c>
      <c r="I100" s="278">
        <f t="shared" si="19"/>
        <v>-142.69999999999982</v>
      </c>
      <c r="J100" s="278">
        <f t="shared" si="20"/>
        <v>97.383907455955423</v>
      </c>
    </row>
    <row r="101" spans="1:10" x14ac:dyDescent="0.25">
      <c r="A101" s="197" t="s">
        <v>442</v>
      </c>
      <c r="B101" s="276">
        <v>1610</v>
      </c>
      <c r="C101" s="277">
        <f t="shared" si="15"/>
        <v>365.875</v>
      </c>
      <c r="D101" s="277">
        <f t="shared" si="16"/>
        <v>664.65</v>
      </c>
      <c r="E101" s="278">
        <f t="shared" si="17"/>
        <v>298.77499999999998</v>
      </c>
      <c r="F101" s="278">
        <f t="shared" si="18"/>
        <v>181.66040314314998</v>
      </c>
      <c r="G101" s="160">
        <v>1463.5</v>
      </c>
      <c r="H101" s="160">
        <f>5.5+2653.1</f>
        <v>2658.6</v>
      </c>
      <c r="I101" s="277">
        <f t="shared" si="19"/>
        <v>1195.0999999999999</v>
      </c>
      <c r="J101" s="277">
        <f t="shared" si="20"/>
        <v>181.66040314314998</v>
      </c>
    </row>
    <row r="102" spans="1:10" x14ac:dyDescent="0.25">
      <c r="A102" s="197" t="s">
        <v>522</v>
      </c>
      <c r="B102" s="276">
        <v>1611</v>
      </c>
      <c r="C102" s="277">
        <f t="shared" si="15"/>
        <v>519.20000000000005</v>
      </c>
      <c r="D102" s="277">
        <f t="shared" si="16"/>
        <v>501.27499999999998</v>
      </c>
      <c r="E102" s="278">
        <f t="shared" si="17"/>
        <v>-17.925000000000068</v>
      </c>
      <c r="F102" s="278">
        <f t="shared" si="18"/>
        <v>96.547573189522325</v>
      </c>
      <c r="G102" s="160">
        <v>2076.8000000000002</v>
      </c>
      <c r="H102" s="160">
        <v>2005.1</v>
      </c>
      <c r="I102" s="277">
        <f t="shared" si="19"/>
        <v>-71.700000000000273</v>
      </c>
      <c r="J102" s="277">
        <f t="shared" si="20"/>
        <v>96.547573189522325</v>
      </c>
    </row>
    <row r="103" spans="1:10" x14ac:dyDescent="0.25">
      <c r="A103" s="185" t="s">
        <v>55</v>
      </c>
      <c r="B103" s="276">
        <v>1612</v>
      </c>
      <c r="C103" s="277">
        <f t="shared" si="15"/>
        <v>392.3</v>
      </c>
      <c r="D103" s="277">
        <f t="shared" si="16"/>
        <v>109.05</v>
      </c>
      <c r="E103" s="278">
        <f t="shared" si="17"/>
        <v>-283.25</v>
      </c>
      <c r="F103" s="278">
        <f t="shared" si="18"/>
        <v>27.797603874585775</v>
      </c>
      <c r="G103" s="160">
        <v>1569.2</v>
      </c>
      <c r="H103" s="160">
        <v>436.2</v>
      </c>
      <c r="I103" s="277">
        <f t="shared" si="19"/>
        <v>-1133</v>
      </c>
      <c r="J103" s="277">
        <f t="shared" si="20"/>
        <v>27.797603874585775</v>
      </c>
    </row>
    <row r="104" spans="1:10" x14ac:dyDescent="0.25">
      <c r="A104" s="185" t="s">
        <v>56</v>
      </c>
      <c r="B104" s="276">
        <v>1613</v>
      </c>
      <c r="C104" s="277">
        <f t="shared" si="15"/>
        <v>86.3</v>
      </c>
      <c r="D104" s="277">
        <f t="shared" si="16"/>
        <v>53.024999999999999</v>
      </c>
      <c r="E104" s="278">
        <f t="shared" si="17"/>
        <v>-33.274999999999999</v>
      </c>
      <c r="F104" s="278">
        <f t="shared" si="18"/>
        <v>61.442641946697563</v>
      </c>
      <c r="G104" s="160">
        <v>345.2</v>
      </c>
      <c r="H104" s="160">
        <v>212.1</v>
      </c>
      <c r="I104" s="277">
        <f t="shared" si="19"/>
        <v>-133.1</v>
      </c>
      <c r="J104" s="277">
        <f t="shared" si="20"/>
        <v>61.442641946697563</v>
      </c>
    </row>
    <row r="105" spans="1:10" ht="24" x14ac:dyDescent="0.25">
      <c r="A105" s="158" t="s">
        <v>80</v>
      </c>
      <c r="B105" s="191">
        <v>1700</v>
      </c>
      <c r="C105" s="278">
        <f t="shared" si="15"/>
        <v>956.07500000000005</v>
      </c>
      <c r="D105" s="278">
        <f t="shared" si="16"/>
        <v>79.25</v>
      </c>
      <c r="E105" s="278">
        <f t="shared" si="17"/>
        <v>-876.82500000000005</v>
      </c>
      <c r="F105" s="278">
        <f t="shared" si="18"/>
        <v>8.2890986585780393</v>
      </c>
      <c r="G105" s="275">
        <f>G106</f>
        <v>3824.3</v>
      </c>
      <c r="H105" s="275">
        <f>H106</f>
        <v>317</v>
      </c>
      <c r="I105" s="278">
        <f t="shared" si="19"/>
        <v>-3507.3</v>
      </c>
      <c r="J105" s="278">
        <f t="shared" si="20"/>
        <v>8.2890986585780393</v>
      </c>
    </row>
    <row r="106" spans="1:10" x14ac:dyDescent="0.25">
      <c r="A106" s="158" t="s">
        <v>524</v>
      </c>
      <c r="B106" s="191">
        <v>1710</v>
      </c>
      <c r="C106" s="277">
        <f t="shared" si="15"/>
        <v>956.07500000000005</v>
      </c>
      <c r="D106" s="277">
        <f t="shared" si="16"/>
        <v>79.25</v>
      </c>
      <c r="E106" s="278">
        <f t="shared" si="17"/>
        <v>-876.82500000000005</v>
      </c>
      <c r="F106" s="278">
        <f t="shared" si="18"/>
        <v>8.2890986585780393</v>
      </c>
      <c r="G106" s="160">
        <v>3824.3</v>
      </c>
      <c r="H106" s="160">
        <v>317</v>
      </c>
      <c r="I106" s="277">
        <f t="shared" si="19"/>
        <v>-3507.3</v>
      </c>
      <c r="J106" s="277">
        <f t="shared" si="20"/>
        <v>8.2890986585780393</v>
      </c>
    </row>
    <row r="107" spans="1:10" x14ac:dyDescent="0.25">
      <c r="A107" s="418" t="s">
        <v>81</v>
      </c>
      <c r="B107" s="418"/>
      <c r="C107" s="418"/>
      <c r="D107" s="418"/>
      <c r="E107" s="418"/>
      <c r="F107" s="418"/>
      <c r="G107" s="418"/>
      <c r="H107" s="418"/>
      <c r="I107" s="418"/>
      <c r="J107" s="418"/>
    </row>
    <row r="108" spans="1:10" x14ac:dyDescent="0.25">
      <c r="A108" s="185" t="s">
        <v>55</v>
      </c>
      <c r="B108" s="186">
        <v>2000</v>
      </c>
      <c r="C108" s="277">
        <f t="shared" si="15"/>
        <v>10994.63</v>
      </c>
      <c r="D108" s="160">
        <f>H108/4</f>
        <v>8552.5</v>
      </c>
      <c r="E108" s="277">
        <f t="shared" ref="E108" si="21">D108-C108</f>
        <v>-2442.1299999999992</v>
      </c>
      <c r="F108" s="277">
        <f t="shared" ref="F108" si="22">(D108/C108)*100</f>
        <v>77.787974674909492</v>
      </c>
      <c r="G108" s="277">
        <v>43978.52</v>
      </c>
      <c r="H108" s="160">
        <v>34210</v>
      </c>
      <c r="I108" s="277">
        <f t="shared" ref="I108" si="23">H108-G108</f>
        <v>-9768.5199999999968</v>
      </c>
      <c r="J108" s="277">
        <f t="shared" ref="J108" si="24">(H108/G108)*100</f>
        <v>77.787974674909492</v>
      </c>
    </row>
    <row r="109" spans="1:10" x14ac:dyDescent="0.25">
      <c r="A109" s="169" t="s">
        <v>83</v>
      </c>
      <c r="B109" s="184">
        <v>2001</v>
      </c>
      <c r="C109" s="277">
        <f t="shared" si="15"/>
        <v>77.834999999999994</v>
      </c>
      <c r="D109" s="160">
        <f t="shared" ref="D109:D119" si="25">H109/4</f>
        <v>0</v>
      </c>
      <c r="E109" s="277">
        <f t="shared" ref="E109:E119" si="26">D109-C109</f>
        <v>-77.834999999999994</v>
      </c>
      <c r="F109" s="277">
        <f t="shared" ref="F109:F119" si="27">(D109/C109)*100</f>
        <v>0</v>
      </c>
      <c r="G109" s="277">
        <v>311.33999999999997</v>
      </c>
      <c r="H109" s="160">
        <v>0</v>
      </c>
      <c r="I109" s="277">
        <f t="shared" ref="I109:I119" si="28">H109-G109</f>
        <v>-311.33999999999997</v>
      </c>
      <c r="J109" s="277">
        <f t="shared" ref="J109:J119" si="29">(H109/G109)*100</f>
        <v>0</v>
      </c>
    </row>
    <row r="110" spans="1:10" x14ac:dyDescent="0.25">
      <c r="A110" s="185" t="s">
        <v>56</v>
      </c>
      <c r="B110" s="186">
        <v>2010</v>
      </c>
      <c r="C110" s="277">
        <f t="shared" ref="C110:C119" si="30">G110/4</f>
        <v>2418.91</v>
      </c>
      <c r="D110" s="160">
        <f t="shared" si="25"/>
        <v>1867.75</v>
      </c>
      <c r="E110" s="277">
        <f t="shared" si="26"/>
        <v>-551.15999999999985</v>
      </c>
      <c r="F110" s="277">
        <f t="shared" si="27"/>
        <v>77.214530511676742</v>
      </c>
      <c r="G110" s="277">
        <v>9675.64</v>
      </c>
      <c r="H110" s="160">
        <v>7471</v>
      </c>
      <c r="I110" s="277">
        <f t="shared" si="28"/>
        <v>-2204.6399999999994</v>
      </c>
      <c r="J110" s="277">
        <f t="shared" si="29"/>
        <v>77.214530511676742</v>
      </c>
    </row>
    <row r="111" spans="1:10" x14ac:dyDescent="0.25">
      <c r="A111" s="169" t="s">
        <v>83</v>
      </c>
      <c r="B111" s="192">
        <v>2011</v>
      </c>
      <c r="C111" s="277">
        <f t="shared" si="30"/>
        <v>12.7325</v>
      </c>
      <c r="D111" s="160">
        <f t="shared" si="25"/>
        <v>0</v>
      </c>
      <c r="E111" s="277">
        <f t="shared" si="26"/>
        <v>-12.7325</v>
      </c>
      <c r="F111" s="277">
        <f t="shared" si="27"/>
        <v>0</v>
      </c>
      <c r="G111" s="277">
        <v>50.93</v>
      </c>
      <c r="H111" s="160">
        <v>0</v>
      </c>
      <c r="I111" s="277">
        <f t="shared" si="28"/>
        <v>-50.93</v>
      </c>
      <c r="J111" s="277">
        <f t="shared" si="29"/>
        <v>0</v>
      </c>
    </row>
    <row r="112" spans="1:10" x14ac:dyDescent="0.25">
      <c r="A112" s="185" t="s">
        <v>77</v>
      </c>
      <c r="B112" s="193">
        <v>2020</v>
      </c>
      <c r="C112" s="277">
        <f t="shared" si="30"/>
        <v>2147.7325000000001</v>
      </c>
      <c r="D112" s="160">
        <f t="shared" si="25"/>
        <v>1007.6</v>
      </c>
      <c r="E112" s="277">
        <f t="shared" si="26"/>
        <v>-1140.1325000000002</v>
      </c>
      <c r="F112" s="277">
        <f t="shared" si="27"/>
        <v>46.914594811039088</v>
      </c>
      <c r="G112" s="277">
        <v>8590.93</v>
      </c>
      <c r="H112" s="160">
        <v>4030.4</v>
      </c>
      <c r="I112" s="277">
        <f t="shared" si="28"/>
        <v>-4560.5300000000007</v>
      </c>
      <c r="J112" s="277">
        <f t="shared" si="29"/>
        <v>46.914594811039088</v>
      </c>
    </row>
    <row r="113" spans="1:10" x14ac:dyDescent="0.25">
      <c r="A113" s="169" t="s">
        <v>83</v>
      </c>
      <c r="B113" s="192">
        <v>2021</v>
      </c>
      <c r="C113" s="277">
        <f t="shared" si="30"/>
        <v>273.59750000000003</v>
      </c>
      <c r="D113" s="160">
        <f t="shared" si="25"/>
        <v>108.325</v>
      </c>
      <c r="E113" s="277">
        <f t="shared" si="26"/>
        <v>-165.27250000000004</v>
      </c>
      <c r="F113" s="277">
        <f t="shared" si="27"/>
        <v>39.592832536847006</v>
      </c>
      <c r="G113" s="277">
        <v>1094.3900000000001</v>
      </c>
      <c r="H113" s="160">
        <v>433.3</v>
      </c>
      <c r="I113" s="277">
        <f t="shared" si="28"/>
        <v>-661.09000000000015</v>
      </c>
      <c r="J113" s="277">
        <f t="shared" si="29"/>
        <v>39.592832536847006</v>
      </c>
    </row>
    <row r="114" spans="1:10" x14ac:dyDescent="0.25">
      <c r="A114" s="185" t="s">
        <v>71</v>
      </c>
      <c r="B114" s="193">
        <v>2030</v>
      </c>
      <c r="C114" s="277">
        <f t="shared" si="30"/>
        <v>5881.95</v>
      </c>
      <c r="D114" s="160">
        <f t="shared" si="25"/>
        <v>6537.75</v>
      </c>
      <c r="E114" s="277">
        <f t="shared" si="26"/>
        <v>655.80000000000018</v>
      </c>
      <c r="F114" s="277">
        <f t="shared" si="27"/>
        <v>111.14936373141559</v>
      </c>
      <c r="G114" s="160">
        <v>23527.8</v>
      </c>
      <c r="H114" s="277">
        <v>26151</v>
      </c>
      <c r="I114" s="277">
        <f t="shared" si="28"/>
        <v>2623.2000000000007</v>
      </c>
      <c r="J114" s="277">
        <f t="shared" si="29"/>
        <v>111.14936373141559</v>
      </c>
    </row>
    <row r="115" spans="1:10" x14ac:dyDescent="0.25">
      <c r="A115" s="169" t="s">
        <v>83</v>
      </c>
      <c r="B115" s="192">
        <v>2031</v>
      </c>
      <c r="C115" s="277">
        <f t="shared" si="30"/>
        <v>3930.8</v>
      </c>
      <c r="D115" s="160">
        <f t="shared" si="25"/>
        <v>3917.2</v>
      </c>
      <c r="E115" s="277">
        <f t="shared" si="26"/>
        <v>-13.600000000000364</v>
      </c>
      <c r="F115" s="277">
        <f t="shared" si="27"/>
        <v>99.654014449984729</v>
      </c>
      <c r="G115" s="160">
        <v>15723.2</v>
      </c>
      <c r="H115" s="160">
        <v>15668.8</v>
      </c>
      <c r="I115" s="277">
        <f t="shared" si="28"/>
        <v>-54.400000000001455</v>
      </c>
      <c r="J115" s="277">
        <f t="shared" si="29"/>
        <v>99.654014449984729</v>
      </c>
    </row>
    <row r="116" spans="1:10" x14ac:dyDescent="0.25">
      <c r="A116" s="185" t="s">
        <v>59</v>
      </c>
      <c r="B116" s="193">
        <v>2040</v>
      </c>
      <c r="C116" s="277">
        <f t="shared" si="30"/>
        <v>511.44</v>
      </c>
      <c r="D116" s="160">
        <f t="shared" si="25"/>
        <v>1071</v>
      </c>
      <c r="E116" s="277">
        <f t="shared" si="26"/>
        <v>559.55999999999995</v>
      </c>
      <c r="F116" s="277">
        <f t="shared" si="27"/>
        <v>209.40872829657437</v>
      </c>
      <c r="G116" s="160">
        <v>2045.76</v>
      </c>
      <c r="H116" s="160">
        <v>4284</v>
      </c>
      <c r="I116" s="277">
        <f t="shared" si="28"/>
        <v>2238.2399999999998</v>
      </c>
      <c r="J116" s="277">
        <f t="shared" si="29"/>
        <v>209.40872829657437</v>
      </c>
    </row>
    <row r="117" spans="1:10" x14ac:dyDescent="0.25">
      <c r="A117" s="185" t="s">
        <v>84</v>
      </c>
      <c r="B117" s="193">
        <v>2050</v>
      </c>
      <c r="C117" s="277">
        <f t="shared" si="30"/>
        <v>3023.6075000000001</v>
      </c>
      <c r="D117" s="160">
        <f t="shared" si="25"/>
        <v>1694.5</v>
      </c>
      <c r="E117" s="277">
        <f t="shared" si="26"/>
        <v>-1329.1075000000001</v>
      </c>
      <c r="F117" s="277">
        <f t="shared" si="27"/>
        <v>56.042326922393201</v>
      </c>
      <c r="G117" s="160">
        <v>12094.43</v>
      </c>
      <c r="H117" s="160">
        <v>6778</v>
      </c>
      <c r="I117" s="277">
        <f t="shared" si="28"/>
        <v>-5316.43</v>
      </c>
      <c r="J117" s="277">
        <f t="shared" si="29"/>
        <v>56.042326922393201</v>
      </c>
    </row>
    <row r="118" spans="1:10" x14ac:dyDescent="0.25">
      <c r="A118" s="169" t="s">
        <v>83</v>
      </c>
      <c r="B118" s="192">
        <v>2051</v>
      </c>
      <c r="C118" s="277">
        <f t="shared" si="30"/>
        <v>0</v>
      </c>
      <c r="D118" s="160">
        <f t="shared" si="25"/>
        <v>0</v>
      </c>
      <c r="E118" s="277">
        <f t="shared" si="26"/>
        <v>0</v>
      </c>
      <c r="F118" s="277">
        <v>0</v>
      </c>
      <c r="G118" s="160">
        <v>0</v>
      </c>
      <c r="H118" s="160">
        <v>0</v>
      </c>
      <c r="I118" s="277">
        <f t="shared" si="28"/>
        <v>0</v>
      </c>
      <c r="J118" s="277">
        <v>0</v>
      </c>
    </row>
    <row r="119" spans="1:10" ht="24.75" x14ac:dyDescent="0.25">
      <c r="A119" s="189" t="s">
        <v>85</v>
      </c>
      <c r="B119" s="194">
        <v>2060</v>
      </c>
      <c r="C119" s="277">
        <f t="shared" si="30"/>
        <v>24978.269999999997</v>
      </c>
      <c r="D119" s="160">
        <f t="shared" si="25"/>
        <v>24756.625000000004</v>
      </c>
      <c r="E119" s="277">
        <f t="shared" si="26"/>
        <v>-221.64499999999316</v>
      </c>
      <c r="F119" s="277">
        <f t="shared" si="27"/>
        <v>99.112648714262463</v>
      </c>
      <c r="G119" s="160">
        <f>G108+G110+G112+G114+G116+G117</f>
        <v>99913.079999999987</v>
      </c>
      <c r="H119" s="160">
        <f>SUM(H108:H118)</f>
        <v>99026.500000000015</v>
      </c>
      <c r="I119" s="277">
        <f t="shared" si="28"/>
        <v>-886.57999999997264</v>
      </c>
      <c r="J119" s="277">
        <f t="shared" si="29"/>
        <v>99.112648714262463</v>
      </c>
    </row>
    <row r="120" spans="1:10" x14ac:dyDescent="0.25">
      <c r="A120" s="419" t="s">
        <v>86</v>
      </c>
      <c r="B120" s="419"/>
      <c r="C120" s="419"/>
      <c r="D120" s="419"/>
      <c r="E120" s="419"/>
      <c r="F120" s="419"/>
      <c r="G120" s="419"/>
      <c r="H120" s="419"/>
      <c r="I120" s="419"/>
      <c r="J120" s="419"/>
    </row>
    <row r="121" spans="1:10" x14ac:dyDescent="0.25">
      <c r="A121" s="166" t="s">
        <v>87</v>
      </c>
      <c r="B121" s="194">
        <v>3000</v>
      </c>
      <c r="C121" s="160">
        <v>0</v>
      </c>
      <c r="D121" s="160">
        <v>0</v>
      </c>
      <c r="E121" s="160">
        <v>0</v>
      </c>
      <c r="F121" s="160">
        <v>0</v>
      </c>
      <c r="G121" s="160">
        <f>SUM(G122:G123)</f>
        <v>0</v>
      </c>
      <c r="H121" s="160">
        <f>SUM(H122:H123)</f>
        <v>0</v>
      </c>
      <c r="I121" s="160">
        <v>0</v>
      </c>
      <c r="J121" s="160">
        <v>0</v>
      </c>
    </row>
    <row r="122" spans="1:10" ht="24" x14ac:dyDescent="0.25">
      <c r="A122" s="195" t="s">
        <v>89</v>
      </c>
      <c r="B122" s="192">
        <v>3001</v>
      </c>
      <c r="C122" s="160"/>
      <c r="D122" s="160"/>
      <c r="E122" s="160"/>
      <c r="F122" s="160">
        <v>0</v>
      </c>
      <c r="G122" s="160"/>
      <c r="H122" s="160">
        <f t="shared" ref="H122:H135" si="31">SUM(H123:H124)</f>
        <v>0</v>
      </c>
      <c r="I122" s="160">
        <v>0</v>
      </c>
      <c r="J122" s="160">
        <v>0</v>
      </c>
    </row>
    <row r="123" spans="1:10" x14ac:dyDescent="0.25">
      <c r="A123" s="195" t="s">
        <v>90</v>
      </c>
      <c r="B123" s="192">
        <v>3002</v>
      </c>
      <c r="C123" s="160">
        <v>0</v>
      </c>
      <c r="D123" s="160">
        <v>0</v>
      </c>
      <c r="E123" s="160">
        <v>0</v>
      </c>
      <c r="F123" s="160">
        <v>0</v>
      </c>
      <c r="G123" s="160">
        <f t="shared" ref="G123" si="32">SUM(G124:G125)</f>
        <v>0</v>
      </c>
      <c r="H123" s="160">
        <f t="shared" si="31"/>
        <v>0</v>
      </c>
      <c r="I123" s="160">
        <v>0</v>
      </c>
      <c r="J123" s="160">
        <v>0</v>
      </c>
    </row>
    <row r="124" spans="1:10" x14ac:dyDescent="0.25">
      <c r="A124" s="166" t="s">
        <v>91</v>
      </c>
      <c r="B124" s="194">
        <v>3100</v>
      </c>
      <c r="C124" s="160"/>
      <c r="D124" s="160"/>
      <c r="E124" s="160"/>
      <c r="F124" s="160">
        <v>0</v>
      </c>
      <c r="G124" s="160"/>
      <c r="H124" s="160">
        <f t="shared" si="31"/>
        <v>0</v>
      </c>
      <c r="I124" s="160">
        <v>0</v>
      </c>
      <c r="J124" s="160">
        <v>0</v>
      </c>
    </row>
    <row r="125" spans="1:10" x14ac:dyDescent="0.25">
      <c r="A125" s="161" t="s">
        <v>93</v>
      </c>
      <c r="B125" s="186">
        <v>3110</v>
      </c>
      <c r="C125" s="160">
        <v>0</v>
      </c>
      <c r="D125" s="160">
        <v>0</v>
      </c>
      <c r="E125" s="160">
        <v>0</v>
      </c>
      <c r="F125" s="160">
        <v>0</v>
      </c>
      <c r="G125" s="160">
        <f t="shared" ref="G125" si="33">SUM(G126:G127)</f>
        <v>0</v>
      </c>
      <c r="H125" s="160">
        <f t="shared" si="31"/>
        <v>0</v>
      </c>
      <c r="I125" s="160">
        <v>0</v>
      </c>
      <c r="J125" s="160">
        <v>0</v>
      </c>
    </row>
    <row r="126" spans="1:10" x14ac:dyDescent="0.25">
      <c r="A126" s="169" t="s">
        <v>83</v>
      </c>
      <c r="B126" s="184">
        <v>3111</v>
      </c>
      <c r="C126" s="160"/>
      <c r="D126" s="160"/>
      <c r="E126" s="160"/>
      <c r="F126" s="160">
        <v>0</v>
      </c>
      <c r="G126" s="160"/>
      <c r="H126" s="160">
        <f t="shared" si="31"/>
        <v>0</v>
      </c>
      <c r="I126" s="160">
        <v>0</v>
      </c>
      <c r="J126" s="160">
        <v>0</v>
      </c>
    </row>
    <row r="127" spans="1:10" x14ac:dyDescent="0.25">
      <c r="A127" s="161" t="s">
        <v>94</v>
      </c>
      <c r="B127" s="186">
        <v>3120</v>
      </c>
      <c r="C127" s="160">
        <v>0</v>
      </c>
      <c r="D127" s="160">
        <v>0</v>
      </c>
      <c r="E127" s="160">
        <v>0</v>
      </c>
      <c r="F127" s="160">
        <v>0</v>
      </c>
      <c r="G127" s="160">
        <f t="shared" ref="G127" si="34">SUM(G128:G129)</f>
        <v>0</v>
      </c>
      <c r="H127" s="160">
        <f t="shared" si="31"/>
        <v>0</v>
      </c>
      <c r="I127" s="160">
        <v>0</v>
      </c>
      <c r="J127" s="160">
        <v>0</v>
      </c>
    </row>
    <row r="128" spans="1:10" x14ac:dyDescent="0.25">
      <c r="A128" s="169" t="s">
        <v>83</v>
      </c>
      <c r="B128" s="184">
        <v>3121</v>
      </c>
      <c r="C128" s="160"/>
      <c r="D128" s="160"/>
      <c r="E128" s="160"/>
      <c r="F128" s="160">
        <v>0</v>
      </c>
      <c r="G128" s="160"/>
      <c r="H128" s="160">
        <f t="shared" si="31"/>
        <v>0</v>
      </c>
      <c r="I128" s="160">
        <v>0</v>
      </c>
      <c r="J128" s="160">
        <v>0</v>
      </c>
    </row>
    <row r="129" spans="1:10" ht="24" x14ac:dyDescent="0.25">
      <c r="A129" s="161" t="s">
        <v>95</v>
      </c>
      <c r="B129" s="186">
        <v>3130</v>
      </c>
      <c r="C129" s="160">
        <v>0</v>
      </c>
      <c r="D129" s="160">
        <v>0</v>
      </c>
      <c r="E129" s="160">
        <v>0</v>
      </c>
      <c r="F129" s="160">
        <v>0</v>
      </c>
      <c r="G129" s="160">
        <f t="shared" ref="G129" si="35">SUM(G130:G131)</f>
        <v>0</v>
      </c>
      <c r="H129" s="160">
        <f t="shared" si="31"/>
        <v>0</v>
      </c>
      <c r="I129" s="160">
        <v>0</v>
      </c>
      <c r="J129" s="160">
        <v>0</v>
      </c>
    </row>
    <row r="130" spans="1:10" x14ac:dyDescent="0.25">
      <c r="A130" s="169" t="s">
        <v>83</v>
      </c>
      <c r="B130" s="184">
        <v>3131</v>
      </c>
      <c r="C130" s="160"/>
      <c r="D130" s="160"/>
      <c r="E130" s="160"/>
      <c r="F130" s="160">
        <v>0</v>
      </c>
      <c r="G130" s="160"/>
      <c r="H130" s="160">
        <f t="shared" si="31"/>
        <v>0</v>
      </c>
      <c r="I130" s="160">
        <v>0</v>
      </c>
      <c r="J130" s="160">
        <v>0</v>
      </c>
    </row>
    <row r="131" spans="1:10" x14ac:dyDescent="0.25">
      <c r="A131" s="161" t="s">
        <v>96</v>
      </c>
      <c r="B131" s="186">
        <v>3140</v>
      </c>
      <c r="C131" s="160">
        <v>0</v>
      </c>
      <c r="D131" s="160">
        <v>0</v>
      </c>
      <c r="E131" s="160">
        <v>0</v>
      </c>
      <c r="F131" s="160">
        <v>0</v>
      </c>
      <c r="G131" s="160">
        <f t="shared" ref="G131" si="36">SUM(G132:G133)</f>
        <v>0</v>
      </c>
      <c r="H131" s="160">
        <f t="shared" si="31"/>
        <v>0</v>
      </c>
      <c r="I131" s="160">
        <v>0</v>
      </c>
      <c r="J131" s="160">
        <v>0</v>
      </c>
    </row>
    <row r="132" spans="1:10" x14ac:dyDescent="0.25">
      <c r="A132" s="169" t="s">
        <v>83</v>
      </c>
      <c r="B132" s="184">
        <v>3141</v>
      </c>
      <c r="C132" s="160"/>
      <c r="D132" s="160"/>
      <c r="E132" s="160"/>
      <c r="F132" s="160">
        <v>0</v>
      </c>
      <c r="G132" s="160"/>
      <c r="H132" s="160">
        <f t="shared" si="31"/>
        <v>0</v>
      </c>
      <c r="I132" s="160">
        <v>0</v>
      </c>
      <c r="J132" s="160">
        <v>0</v>
      </c>
    </row>
    <row r="133" spans="1:10" ht="24" x14ac:dyDescent="0.25">
      <c r="A133" s="161" t="s">
        <v>97</v>
      </c>
      <c r="B133" s="186">
        <v>3150</v>
      </c>
      <c r="C133" s="160">
        <v>0</v>
      </c>
      <c r="D133" s="160">
        <v>0</v>
      </c>
      <c r="E133" s="160">
        <v>0</v>
      </c>
      <c r="F133" s="160">
        <v>0</v>
      </c>
      <c r="G133" s="160">
        <f t="shared" ref="G133" si="37">SUM(G134:G135)</f>
        <v>0</v>
      </c>
      <c r="H133" s="160">
        <f t="shared" si="31"/>
        <v>0</v>
      </c>
      <c r="I133" s="160">
        <v>0</v>
      </c>
      <c r="J133" s="160">
        <v>0</v>
      </c>
    </row>
    <row r="134" spans="1:10" x14ac:dyDescent="0.25">
      <c r="A134" s="169" t="s">
        <v>83</v>
      </c>
      <c r="B134" s="184">
        <v>3151</v>
      </c>
      <c r="C134" s="160"/>
      <c r="D134" s="160"/>
      <c r="E134" s="160"/>
      <c r="F134" s="160">
        <v>0</v>
      </c>
      <c r="G134" s="160"/>
      <c r="H134" s="160">
        <f t="shared" si="31"/>
        <v>0</v>
      </c>
      <c r="I134" s="160">
        <v>0</v>
      </c>
      <c r="J134" s="160">
        <v>0</v>
      </c>
    </row>
    <row r="135" spans="1:10" x14ac:dyDescent="0.25">
      <c r="A135" s="161" t="s">
        <v>98</v>
      </c>
      <c r="B135" s="186">
        <v>3160</v>
      </c>
      <c r="C135" s="160">
        <v>0</v>
      </c>
      <c r="D135" s="160">
        <v>0</v>
      </c>
      <c r="E135" s="160">
        <v>0</v>
      </c>
      <c r="F135" s="160">
        <v>0</v>
      </c>
      <c r="G135" s="160">
        <f t="shared" ref="G135" si="38">SUM(G136:G137)</f>
        <v>0</v>
      </c>
      <c r="H135" s="160">
        <f t="shared" si="31"/>
        <v>0</v>
      </c>
      <c r="I135" s="160">
        <v>0</v>
      </c>
      <c r="J135" s="160">
        <v>0</v>
      </c>
    </row>
    <row r="136" spans="1:10" x14ac:dyDescent="0.25">
      <c r="A136" s="169" t="s">
        <v>83</v>
      </c>
      <c r="B136" s="184">
        <v>3161</v>
      </c>
      <c r="C136" s="160">
        <v>0</v>
      </c>
      <c r="D136" s="160">
        <v>0</v>
      </c>
      <c r="E136" s="160">
        <v>0</v>
      </c>
      <c r="F136" s="160">
        <v>0</v>
      </c>
      <c r="G136" s="160">
        <v>0</v>
      </c>
      <c r="H136" s="160">
        <v>0</v>
      </c>
      <c r="I136" s="160">
        <v>0</v>
      </c>
      <c r="J136" s="160">
        <v>0</v>
      </c>
    </row>
    <row r="137" spans="1:10" x14ac:dyDescent="0.25">
      <c r="A137" s="403" t="s">
        <v>99</v>
      </c>
      <c r="B137" s="403"/>
      <c r="C137" s="403"/>
      <c r="D137" s="403"/>
      <c r="E137" s="403"/>
      <c r="F137" s="403"/>
      <c r="G137" s="403"/>
      <c r="H137" s="403"/>
      <c r="I137" s="403"/>
      <c r="J137" s="403"/>
    </row>
    <row r="138" spans="1:10" ht="24" x14ac:dyDescent="0.25">
      <c r="A138" s="158" t="s">
        <v>100</v>
      </c>
      <c r="B138" s="188">
        <v>4000</v>
      </c>
      <c r="C138" s="160">
        <v>0</v>
      </c>
      <c r="D138" s="160">
        <v>0</v>
      </c>
      <c r="E138" s="160">
        <v>0</v>
      </c>
      <c r="F138" s="160">
        <v>0</v>
      </c>
      <c r="G138" s="160">
        <v>0</v>
      </c>
      <c r="H138" s="160">
        <v>0</v>
      </c>
      <c r="I138" s="160">
        <v>0</v>
      </c>
      <c r="J138" s="160">
        <v>0</v>
      </c>
    </row>
    <row r="139" spans="1:10" x14ac:dyDescent="0.25">
      <c r="A139" s="196" t="s">
        <v>102</v>
      </c>
      <c r="B139" s="178">
        <v>4001</v>
      </c>
      <c r="C139" s="160">
        <v>0</v>
      </c>
      <c r="D139" s="160">
        <v>0</v>
      </c>
      <c r="E139" s="160">
        <v>0</v>
      </c>
      <c r="F139" s="160">
        <v>0</v>
      </c>
      <c r="G139" s="160">
        <v>0</v>
      </c>
      <c r="H139" s="160">
        <v>0</v>
      </c>
      <c r="I139" s="160">
        <v>0</v>
      </c>
      <c r="J139" s="160">
        <v>0</v>
      </c>
    </row>
    <row r="140" spans="1:10" x14ac:dyDescent="0.25">
      <c r="A140" s="196" t="s">
        <v>103</v>
      </c>
      <c r="B140" s="178">
        <v>4002</v>
      </c>
      <c r="C140" s="160">
        <v>0</v>
      </c>
      <c r="D140" s="160">
        <v>0</v>
      </c>
      <c r="E140" s="160">
        <v>0</v>
      </c>
      <c r="F140" s="160">
        <v>0</v>
      </c>
      <c r="G140" s="160">
        <v>0</v>
      </c>
      <c r="H140" s="160">
        <v>0</v>
      </c>
      <c r="I140" s="160">
        <v>0</v>
      </c>
      <c r="J140" s="160">
        <v>0</v>
      </c>
    </row>
    <row r="141" spans="1:10" x14ac:dyDescent="0.25">
      <c r="A141" s="196" t="s">
        <v>104</v>
      </c>
      <c r="B141" s="178">
        <v>4003</v>
      </c>
      <c r="C141" s="160">
        <v>0</v>
      </c>
      <c r="D141" s="160">
        <v>0</v>
      </c>
      <c r="E141" s="160">
        <v>0</v>
      </c>
      <c r="F141" s="160">
        <v>0</v>
      </c>
      <c r="G141" s="160">
        <v>0</v>
      </c>
      <c r="H141" s="160">
        <v>0</v>
      </c>
      <c r="I141" s="160">
        <v>0</v>
      </c>
      <c r="J141" s="160">
        <v>0</v>
      </c>
    </row>
    <row r="142" spans="1:10" x14ac:dyDescent="0.25">
      <c r="A142" s="197" t="s">
        <v>105</v>
      </c>
      <c r="B142" s="183">
        <v>4010</v>
      </c>
      <c r="C142" s="160">
        <v>0</v>
      </c>
      <c r="D142" s="160">
        <v>0</v>
      </c>
      <c r="E142" s="160">
        <v>0</v>
      </c>
      <c r="F142" s="160">
        <v>0</v>
      </c>
      <c r="G142" s="160">
        <v>0</v>
      </c>
      <c r="H142" s="160">
        <v>0</v>
      </c>
      <c r="I142" s="160">
        <v>0</v>
      </c>
      <c r="J142" s="160">
        <v>0</v>
      </c>
    </row>
    <row r="143" spans="1:10" ht="24" x14ac:dyDescent="0.25">
      <c r="A143" s="158" t="s">
        <v>106</v>
      </c>
      <c r="B143" s="188">
        <v>4020</v>
      </c>
      <c r="C143" s="160">
        <v>0</v>
      </c>
      <c r="D143" s="160">
        <v>0</v>
      </c>
      <c r="E143" s="160">
        <v>0</v>
      </c>
      <c r="F143" s="160">
        <v>0</v>
      </c>
      <c r="G143" s="160">
        <v>0</v>
      </c>
      <c r="H143" s="160">
        <v>0</v>
      </c>
      <c r="I143" s="160">
        <v>0</v>
      </c>
      <c r="J143" s="160">
        <v>0</v>
      </c>
    </row>
    <row r="144" spans="1:10" x14ac:dyDescent="0.25">
      <c r="A144" s="196" t="s">
        <v>102</v>
      </c>
      <c r="B144" s="178">
        <v>4021</v>
      </c>
      <c r="C144" s="160">
        <v>0</v>
      </c>
      <c r="D144" s="160">
        <v>0</v>
      </c>
      <c r="E144" s="160">
        <v>0</v>
      </c>
      <c r="F144" s="160">
        <v>0</v>
      </c>
      <c r="G144" s="160">
        <v>0</v>
      </c>
      <c r="H144" s="160">
        <v>0</v>
      </c>
      <c r="I144" s="160">
        <v>0</v>
      </c>
      <c r="J144" s="160">
        <v>0</v>
      </c>
    </row>
    <row r="145" spans="1:10" x14ac:dyDescent="0.25">
      <c r="A145" s="196" t="s">
        <v>103</v>
      </c>
      <c r="B145" s="178">
        <v>4022</v>
      </c>
      <c r="C145" s="160">
        <v>0</v>
      </c>
      <c r="D145" s="160">
        <v>0</v>
      </c>
      <c r="E145" s="160">
        <v>0</v>
      </c>
      <c r="F145" s="160">
        <v>0</v>
      </c>
      <c r="G145" s="160">
        <v>0</v>
      </c>
      <c r="H145" s="160">
        <v>0</v>
      </c>
      <c r="I145" s="160">
        <v>0</v>
      </c>
      <c r="J145" s="160">
        <v>0</v>
      </c>
    </row>
    <row r="146" spans="1:10" x14ac:dyDescent="0.25">
      <c r="A146" s="196" t="s">
        <v>104</v>
      </c>
      <c r="B146" s="178">
        <v>4023</v>
      </c>
      <c r="C146" s="160">
        <v>0</v>
      </c>
      <c r="D146" s="160">
        <v>0</v>
      </c>
      <c r="E146" s="160">
        <v>0</v>
      </c>
      <c r="F146" s="160">
        <v>0</v>
      </c>
      <c r="G146" s="160">
        <v>0</v>
      </c>
      <c r="H146" s="160">
        <v>0</v>
      </c>
      <c r="I146" s="160">
        <v>0</v>
      </c>
      <c r="J146" s="160">
        <v>0</v>
      </c>
    </row>
    <row r="147" spans="1:10" x14ac:dyDescent="0.25">
      <c r="A147" s="197" t="s">
        <v>108</v>
      </c>
      <c r="B147" s="183">
        <v>4030</v>
      </c>
      <c r="C147" s="160">
        <v>0</v>
      </c>
      <c r="D147" s="160">
        <v>0</v>
      </c>
      <c r="E147" s="160">
        <v>0</v>
      </c>
      <c r="F147" s="160">
        <v>0</v>
      </c>
      <c r="G147" s="160">
        <v>0</v>
      </c>
      <c r="H147" s="160">
        <v>0</v>
      </c>
      <c r="I147" s="160">
        <v>0</v>
      </c>
      <c r="J147" s="160">
        <v>0</v>
      </c>
    </row>
    <row r="148" spans="1:10" x14ac:dyDescent="0.25">
      <c r="A148" s="403" t="s">
        <v>109</v>
      </c>
      <c r="B148" s="403"/>
      <c r="C148" s="403"/>
      <c r="D148" s="403"/>
      <c r="E148" s="403"/>
      <c r="F148" s="403"/>
      <c r="G148" s="403"/>
      <c r="H148" s="403"/>
      <c r="I148" s="403"/>
      <c r="J148" s="403"/>
    </row>
    <row r="149" spans="1:10" ht="24" x14ac:dyDescent="0.25">
      <c r="A149" s="198" t="s">
        <v>409</v>
      </c>
      <c r="B149" s="199">
        <v>5000</v>
      </c>
      <c r="C149" s="277">
        <f>C23+C27+C29+C36+C121+C138</f>
        <v>26713.724999999999</v>
      </c>
      <c r="D149" s="281">
        <f>D23+D27+D29+D36+D121+D138</f>
        <v>20377.650000000001</v>
      </c>
      <c r="E149" s="281">
        <f>D149-C149</f>
        <v>-6336.0749999999971</v>
      </c>
      <c r="F149" s="281">
        <f>(D149/C149)*100</f>
        <v>76.281574359247927</v>
      </c>
      <c r="G149" s="281">
        <f>G23+G27+G29+G36+G121+G138</f>
        <v>106854.9</v>
      </c>
      <c r="H149" s="281">
        <f>H23+H27+H29+H36+H121+H138</f>
        <v>81510.600000000006</v>
      </c>
      <c r="I149" s="277">
        <f t="shared" ref="I149" si="39">H149-G149</f>
        <v>-25344.299999999988</v>
      </c>
      <c r="J149" s="277">
        <f t="shared" ref="J149" si="40">(H149/G149)*100</f>
        <v>76.281574359247927</v>
      </c>
    </row>
    <row r="150" spans="1:10" ht="24" x14ac:dyDescent="0.25">
      <c r="A150" s="198" t="s">
        <v>269</v>
      </c>
      <c r="B150" s="199">
        <v>5010</v>
      </c>
      <c r="C150" s="277">
        <f>C44+C69+C91+C100+C105+C124+C143</f>
        <v>25281.975000000002</v>
      </c>
      <c r="D150" s="281">
        <f>D44+D69+D91+D100+D105+D124+D143</f>
        <v>19721</v>
      </c>
      <c r="E150" s="281">
        <f>D150-C150</f>
        <v>-5560.9750000000022</v>
      </c>
      <c r="F150" s="281">
        <f>(D150/C150)*100</f>
        <v>78.00419073272559</v>
      </c>
      <c r="G150" s="281">
        <f>G44+G69+G91+G100+G105+G124+G143</f>
        <v>101127.90000000001</v>
      </c>
      <c r="H150" s="281">
        <f>H44+H69+H91+H100+H105+H124+H143</f>
        <v>78884</v>
      </c>
      <c r="I150" s="277">
        <f t="shared" ref="I150:I156" si="41">H150-G150</f>
        <v>-22243.900000000009</v>
      </c>
      <c r="J150" s="277">
        <f t="shared" ref="J150:J156" si="42">(H150/G150)*100</f>
        <v>78.00419073272559</v>
      </c>
    </row>
    <row r="151" spans="1:10" x14ac:dyDescent="0.25">
      <c r="A151" s="197" t="s">
        <v>410</v>
      </c>
      <c r="B151" s="186">
        <v>5020</v>
      </c>
      <c r="C151" s="160">
        <v>0</v>
      </c>
      <c r="D151" s="281">
        <v>0</v>
      </c>
      <c r="E151" s="281">
        <f t="shared" ref="E151:E156" si="43">D151-C151</f>
        <v>0</v>
      </c>
      <c r="F151" s="281">
        <v>0</v>
      </c>
      <c r="G151" s="281">
        <v>0</v>
      </c>
      <c r="H151" s="281">
        <v>0</v>
      </c>
      <c r="I151" s="281">
        <v>0</v>
      </c>
      <c r="J151" s="281">
        <v>0</v>
      </c>
    </row>
    <row r="152" spans="1:10" x14ac:dyDescent="0.25">
      <c r="A152" s="200" t="s">
        <v>111</v>
      </c>
      <c r="B152" s="184">
        <v>5021</v>
      </c>
      <c r="C152" s="160">
        <v>0</v>
      </c>
      <c r="D152" s="281">
        <v>0</v>
      </c>
      <c r="E152" s="281">
        <f t="shared" si="43"/>
        <v>0</v>
      </c>
      <c r="F152" s="281">
        <v>0</v>
      </c>
      <c r="G152" s="281">
        <v>0</v>
      </c>
      <c r="H152" s="281">
        <v>0</v>
      </c>
      <c r="I152" s="281">
        <v>0</v>
      </c>
      <c r="J152" s="281">
        <v>0</v>
      </c>
    </row>
    <row r="153" spans="1:10" x14ac:dyDescent="0.25">
      <c r="A153" s="200" t="s">
        <v>112</v>
      </c>
      <c r="B153" s="184">
        <v>5022</v>
      </c>
      <c r="C153" s="277">
        <f>C23-C44</f>
        <v>2099.1499999999978</v>
      </c>
      <c r="D153" s="281">
        <f>D23-D44</f>
        <v>-703.59999999999854</v>
      </c>
      <c r="E153" s="281">
        <f t="shared" si="43"/>
        <v>-2802.7499999999964</v>
      </c>
      <c r="F153" s="281">
        <f t="shared" ref="F153:F156" si="44">(D153/C153)*100</f>
        <v>-33.518328847390578</v>
      </c>
      <c r="G153" s="281">
        <f>G23-G44</f>
        <v>8396.5999999999913</v>
      </c>
      <c r="H153" s="281">
        <f>H23-H44</f>
        <v>-2814.3999999999942</v>
      </c>
      <c r="I153" s="277">
        <f t="shared" si="41"/>
        <v>-11210.999999999985</v>
      </c>
      <c r="J153" s="277">
        <f t="shared" si="42"/>
        <v>-33.518328847390578</v>
      </c>
    </row>
    <row r="154" spans="1:10" x14ac:dyDescent="0.25">
      <c r="A154" s="201" t="s">
        <v>267</v>
      </c>
      <c r="B154" s="186">
        <v>5030</v>
      </c>
      <c r="C154" s="160">
        <v>0</v>
      </c>
      <c r="D154" s="281">
        <v>0</v>
      </c>
      <c r="E154" s="281">
        <f t="shared" si="43"/>
        <v>0</v>
      </c>
      <c r="F154" s="281">
        <v>0</v>
      </c>
      <c r="G154" s="281">
        <v>0</v>
      </c>
      <c r="H154" s="281">
        <v>0</v>
      </c>
      <c r="I154" s="281">
        <v>0</v>
      </c>
      <c r="J154" s="281">
        <v>0</v>
      </c>
    </row>
    <row r="155" spans="1:10" x14ac:dyDescent="0.25">
      <c r="A155" s="200" t="s">
        <v>111</v>
      </c>
      <c r="B155" s="184">
        <v>5031</v>
      </c>
      <c r="C155" s="160">
        <v>0</v>
      </c>
      <c r="D155" s="281">
        <v>0</v>
      </c>
      <c r="E155" s="281">
        <f t="shared" si="43"/>
        <v>0</v>
      </c>
      <c r="F155" s="281">
        <v>0</v>
      </c>
      <c r="G155" s="281">
        <v>0</v>
      </c>
      <c r="H155" s="281">
        <v>0</v>
      </c>
      <c r="I155" s="281">
        <v>0</v>
      </c>
      <c r="J155" s="281">
        <v>0</v>
      </c>
    </row>
    <row r="156" spans="1:10" x14ac:dyDescent="0.25">
      <c r="A156" s="200" t="s">
        <v>112</v>
      </c>
      <c r="B156" s="184">
        <v>5032</v>
      </c>
      <c r="C156" s="277">
        <f>C153+C26-C69-C91-C100</f>
        <v>-1901.0500000000022</v>
      </c>
      <c r="D156" s="281">
        <f>D153+D26-D69-D91-D100</f>
        <v>-3908.9999999999986</v>
      </c>
      <c r="E156" s="281">
        <f t="shared" si="43"/>
        <v>-2007.9499999999964</v>
      </c>
      <c r="F156" s="281">
        <f t="shared" si="44"/>
        <v>205.62320822703214</v>
      </c>
      <c r="G156" s="281">
        <f>G153+G26-G69-G91-G100</f>
        <v>-7604.2000000000089</v>
      </c>
      <c r="H156" s="281">
        <f>H153+H26-H69-H91-H100</f>
        <v>-15635.999999999995</v>
      </c>
      <c r="I156" s="277">
        <f t="shared" si="41"/>
        <v>-8031.7999999999856</v>
      </c>
      <c r="J156" s="277">
        <f t="shared" si="42"/>
        <v>205.62320822703214</v>
      </c>
    </row>
    <row r="157" spans="1:10" ht="24.75" x14ac:dyDescent="0.25">
      <c r="A157" s="201" t="s">
        <v>268</v>
      </c>
      <c r="B157" s="186">
        <v>5040</v>
      </c>
      <c r="C157" s="160"/>
      <c r="D157" s="281"/>
      <c r="E157" s="281"/>
      <c r="F157" s="281"/>
      <c r="G157" s="281"/>
      <c r="H157" s="281"/>
      <c r="I157" s="160"/>
      <c r="J157" s="160"/>
    </row>
    <row r="158" spans="1:10" x14ac:dyDescent="0.25">
      <c r="A158" s="200" t="s">
        <v>111</v>
      </c>
      <c r="B158" s="184">
        <v>5041</v>
      </c>
      <c r="C158" s="160"/>
      <c r="D158" s="281"/>
      <c r="E158" s="281"/>
      <c r="F158" s="281"/>
      <c r="G158" s="281"/>
      <c r="H158" s="281"/>
      <c r="I158" s="160"/>
      <c r="J158" s="160"/>
    </row>
    <row r="159" spans="1:10" x14ac:dyDescent="0.25">
      <c r="A159" s="200" t="s">
        <v>112</v>
      </c>
      <c r="B159" s="184">
        <v>5042</v>
      </c>
      <c r="C159" s="160">
        <v>798.6</v>
      </c>
      <c r="D159" s="281">
        <v>-445.4</v>
      </c>
      <c r="E159" s="281">
        <f>D159-C159</f>
        <v>-1244</v>
      </c>
      <c r="F159" s="281">
        <f t="shared" ref="F159" si="45">(D159/C159)*100</f>
        <v>-55.772602053593786</v>
      </c>
      <c r="G159" s="281">
        <v>3194.5</v>
      </c>
      <c r="H159" s="281">
        <v>-1781.7</v>
      </c>
      <c r="I159" s="160">
        <v>-4976.2</v>
      </c>
      <c r="J159" s="160">
        <v>-55.8</v>
      </c>
    </row>
    <row r="160" spans="1:10" x14ac:dyDescent="0.25">
      <c r="A160" s="197" t="s">
        <v>411</v>
      </c>
      <c r="B160" s="186">
        <v>5050</v>
      </c>
      <c r="C160" s="160"/>
      <c r="D160" s="281"/>
      <c r="E160" s="281"/>
      <c r="F160" s="281"/>
      <c r="G160" s="281"/>
      <c r="H160" s="281"/>
      <c r="I160" s="160"/>
      <c r="J160" s="160"/>
    </row>
    <row r="161" spans="1:10" ht="36" x14ac:dyDescent="0.25">
      <c r="A161" s="158" t="s">
        <v>110</v>
      </c>
      <c r="B161" s="188">
        <v>5060</v>
      </c>
      <c r="C161" s="160"/>
      <c r="D161" s="281"/>
      <c r="E161" s="281"/>
      <c r="F161" s="281"/>
      <c r="G161" s="281"/>
      <c r="H161" s="281"/>
      <c r="I161" s="160"/>
      <c r="J161" s="160"/>
    </row>
    <row r="162" spans="1:10" x14ac:dyDescent="0.25">
      <c r="A162" s="197" t="s">
        <v>111</v>
      </c>
      <c r="B162" s="183">
        <v>5061</v>
      </c>
      <c r="C162" s="160"/>
      <c r="D162" s="281"/>
      <c r="E162" s="281"/>
      <c r="F162" s="281"/>
      <c r="G162" s="281"/>
      <c r="H162" s="281"/>
      <c r="I162" s="160"/>
      <c r="J162" s="160"/>
    </row>
    <row r="163" spans="1:10" x14ac:dyDescent="0.25">
      <c r="A163" s="197" t="s">
        <v>112</v>
      </c>
      <c r="B163" s="183">
        <v>5062</v>
      </c>
      <c r="C163" s="277">
        <f>C156+C29-C105-C172</f>
        <v>906.92499999999836</v>
      </c>
      <c r="D163" s="281">
        <f>D156+D29-D105-D172</f>
        <v>128.60000000000173</v>
      </c>
      <c r="E163" s="281">
        <f>D163-C163</f>
        <v>-778.32499999999663</v>
      </c>
      <c r="F163" s="281">
        <f t="shared" ref="F163" si="46">(D163/C163)*100</f>
        <v>14.179783333792978</v>
      </c>
      <c r="G163" s="281">
        <f>G156+G29-G105-G172</f>
        <v>3627.6999999999935</v>
      </c>
      <c r="H163" s="281">
        <f>H156+H29-H105-H172</f>
        <v>514.40000000000691</v>
      </c>
      <c r="I163" s="277">
        <f t="shared" ref="I163" si="47">H163-G163</f>
        <v>-3113.2999999999865</v>
      </c>
      <c r="J163" s="277">
        <f t="shared" ref="J163" si="48">(H163/G163)*100</f>
        <v>14.179783333792978</v>
      </c>
    </row>
    <row r="164" spans="1:10" x14ac:dyDescent="0.25">
      <c r="A164" s="403" t="s">
        <v>270</v>
      </c>
      <c r="B164" s="403"/>
      <c r="C164" s="403"/>
      <c r="D164" s="403"/>
      <c r="E164" s="403"/>
      <c r="F164" s="403"/>
      <c r="G164" s="403"/>
      <c r="H164" s="403"/>
      <c r="I164" s="403"/>
      <c r="J164" s="403"/>
    </row>
    <row r="165" spans="1:10" ht="24" x14ac:dyDescent="0.25">
      <c r="A165" s="197" t="s">
        <v>271</v>
      </c>
      <c r="B165" s="202">
        <v>6000</v>
      </c>
      <c r="C165" s="160">
        <v>0</v>
      </c>
      <c r="D165" s="160">
        <v>0</v>
      </c>
      <c r="E165" s="160">
        <v>0</v>
      </c>
      <c r="F165" s="160">
        <v>0</v>
      </c>
      <c r="G165" s="160">
        <v>0</v>
      </c>
      <c r="H165" s="160">
        <v>0</v>
      </c>
      <c r="I165" s="160">
        <v>0</v>
      </c>
      <c r="J165" s="160">
        <v>0</v>
      </c>
    </row>
    <row r="166" spans="1:10" ht="24" x14ac:dyDescent="0.25">
      <c r="A166" s="197" t="s">
        <v>272</v>
      </c>
      <c r="B166" s="202">
        <v>6010</v>
      </c>
      <c r="C166" s="160">
        <v>0</v>
      </c>
      <c r="D166" s="160">
        <v>0</v>
      </c>
      <c r="E166" s="160">
        <v>0</v>
      </c>
      <c r="F166" s="160">
        <v>0</v>
      </c>
      <c r="G166" s="160">
        <v>0</v>
      </c>
      <c r="H166" s="160">
        <v>0</v>
      </c>
      <c r="I166" s="160">
        <v>0</v>
      </c>
      <c r="J166" s="160">
        <v>0</v>
      </c>
    </row>
    <row r="167" spans="1:10" x14ac:dyDescent="0.25">
      <c r="A167" s="197" t="s">
        <v>273</v>
      </c>
      <c r="B167" s="202">
        <v>6020</v>
      </c>
      <c r="C167" s="160">
        <v>0</v>
      </c>
      <c r="D167" s="160">
        <v>0</v>
      </c>
      <c r="E167" s="160">
        <v>0</v>
      </c>
      <c r="F167" s="160">
        <v>0</v>
      </c>
      <c r="G167" s="160">
        <v>0</v>
      </c>
      <c r="H167" s="160">
        <v>0</v>
      </c>
      <c r="I167" s="160">
        <v>0</v>
      </c>
      <c r="J167" s="160">
        <v>0</v>
      </c>
    </row>
    <row r="168" spans="1:10" ht="24" x14ac:dyDescent="0.25">
      <c r="A168" s="200" t="s">
        <v>274</v>
      </c>
      <c r="B168" s="203">
        <v>6021</v>
      </c>
      <c r="C168" s="160">
        <v>0</v>
      </c>
      <c r="D168" s="160">
        <v>0</v>
      </c>
      <c r="E168" s="160">
        <v>0</v>
      </c>
      <c r="F168" s="160">
        <v>0</v>
      </c>
      <c r="G168" s="160">
        <v>0</v>
      </c>
      <c r="H168" s="160">
        <v>0</v>
      </c>
      <c r="I168" s="160">
        <v>0</v>
      </c>
      <c r="J168" s="160">
        <v>0</v>
      </c>
    </row>
    <row r="169" spans="1:10" x14ac:dyDescent="0.25">
      <c r="A169" s="197" t="s">
        <v>275</v>
      </c>
      <c r="B169" s="202">
        <v>6030</v>
      </c>
      <c r="C169" s="160">
        <v>0</v>
      </c>
      <c r="D169" s="160">
        <v>0</v>
      </c>
      <c r="E169" s="160">
        <v>0</v>
      </c>
      <c r="F169" s="160">
        <v>0</v>
      </c>
      <c r="G169" s="160">
        <v>0</v>
      </c>
      <c r="H169" s="160">
        <v>0</v>
      </c>
      <c r="I169" s="160">
        <v>0</v>
      </c>
      <c r="J169" s="160">
        <v>0</v>
      </c>
    </row>
    <row r="170" spans="1:10" x14ac:dyDescent="0.25">
      <c r="A170" s="197" t="s">
        <v>276</v>
      </c>
      <c r="B170" s="202">
        <v>6040</v>
      </c>
      <c r="C170" s="160">
        <v>0</v>
      </c>
      <c r="D170" s="160">
        <v>0</v>
      </c>
      <c r="E170" s="160">
        <v>0</v>
      </c>
      <c r="F170" s="160">
        <v>0</v>
      </c>
      <c r="G170" s="160">
        <v>0</v>
      </c>
      <c r="H170" s="160">
        <v>0</v>
      </c>
      <c r="I170" s="160">
        <v>0</v>
      </c>
      <c r="J170" s="160">
        <v>0</v>
      </c>
    </row>
    <row r="171" spans="1:10" x14ac:dyDescent="0.25">
      <c r="A171" s="197" t="s">
        <v>277</v>
      </c>
      <c r="B171" s="202">
        <v>6050</v>
      </c>
      <c r="C171" s="160">
        <v>0</v>
      </c>
      <c r="D171" s="160">
        <v>0</v>
      </c>
      <c r="E171" s="160">
        <v>0</v>
      </c>
      <c r="F171" s="160">
        <v>0</v>
      </c>
      <c r="G171" s="160">
        <v>0</v>
      </c>
      <c r="H171" s="160">
        <v>0</v>
      </c>
      <c r="I171" s="160">
        <v>0</v>
      </c>
      <c r="J171" s="160">
        <v>0</v>
      </c>
    </row>
    <row r="172" spans="1:10" ht="24" x14ac:dyDescent="0.25">
      <c r="A172" s="197" t="s">
        <v>278</v>
      </c>
      <c r="B172" s="202">
        <v>6060</v>
      </c>
      <c r="C172" s="277">
        <f>G172/4</f>
        <v>404.05</v>
      </c>
      <c r="D172" s="277">
        <f>H172/4</f>
        <v>51.25</v>
      </c>
      <c r="E172" s="277">
        <f>D172-C172</f>
        <v>-352.8</v>
      </c>
      <c r="F172" s="277">
        <f t="shared" ref="F172" si="49">(D172/C172)*100</f>
        <v>12.684073753248359</v>
      </c>
      <c r="G172" s="282">
        <v>1616.2</v>
      </c>
      <c r="H172" s="277">
        <v>205</v>
      </c>
      <c r="I172" s="277">
        <f t="shared" ref="I172" si="50">H172-G172</f>
        <v>-1411.2</v>
      </c>
      <c r="J172" s="277">
        <f t="shared" ref="J172" si="51">(H172/G172)*100</f>
        <v>12.684073753248359</v>
      </c>
    </row>
    <row r="173" spans="1:10" x14ac:dyDescent="0.25">
      <c r="A173" s="403" t="s">
        <v>413</v>
      </c>
      <c r="B173" s="403"/>
      <c r="C173" s="403"/>
      <c r="D173" s="403"/>
      <c r="E173" s="403"/>
      <c r="F173" s="403"/>
      <c r="G173" s="403"/>
      <c r="H173" s="403"/>
      <c r="I173" s="403"/>
      <c r="J173" s="403"/>
    </row>
    <row r="174" spans="1:10" x14ac:dyDescent="0.25">
      <c r="A174" s="158" t="s">
        <v>113</v>
      </c>
      <c r="B174" s="158"/>
      <c r="C174" s="160"/>
      <c r="D174" s="160"/>
      <c r="E174" s="160"/>
      <c r="F174" s="160"/>
      <c r="G174" s="160"/>
      <c r="H174" s="160"/>
      <c r="I174" s="160"/>
      <c r="J174" s="160"/>
    </row>
    <row r="175" spans="1:10" ht="60" x14ac:dyDescent="0.25">
      <c r="A175" s="161" t="s">
        <v>118</v>
      </c>
      <c r="B175" s="202">
        <v>7000</v>
      </c>
      <c r="C175" s="160">
        <f>G175</f>
        <v>229.5</v>
      </c>
      <c r="D175" s="160">
        <f>H175</f>
        <v>229.5</v>
      </c>
      <c r="E175" s="160">
        <f>D175-C175</f>
        <v>0</v>
      </c>
      <c r="F175" s="160">
        <f>(D175/C175)*100</f>
        <v>100</v>
      </c>
      <c r="G175" s="160">
        <v>229.5</v>
      </c>
      <c r="H175" s="160">
        <v>229.5</v>
      </c>
      <c r="I175" s="160">
        <f t="shared" ref="I175" si="52">H175-G175</f>
        <v>0</v>
      </c>
      <c r="J175" s="160">
        <f t="shared" ref="J175" si="53">(H175/G175)*100</f>
        <v>100</v>
      </c>
    </row>
    <row r="176" spans="1:10" x14ac:dyDescent="0.25">
      <c r="A176" s="195" t="s">
        <v>282</v>
      </c>
      <c r="B176" s="203">
        <v>7001</v>
      </c>
      <c r="C176" s="160">
        <f t="shared" ref="C176:C229" si="54">G176</f>
        <v>1</v>
      </c>
      <c r="D176" s="160">
        <f t="shared" ref="D176:D229" si="55">H176</f>
        <v>1</v>
      </c>
      <c r="E176" s="160">
        <f t="shared" ref="E176:E229" si="56">D176-C176</f>
        <v>0</v>
      </c>
      <c r="F176" s="160">
        <f t="shared" ref="F176:F229" si="57">(D176/C176)*100</f>
        <v>100</v>
      </c>
      <c r="G176" s="160">
        <v>1</v>
      </c>
      <c r="H176" s="160">
        <v>1</v>
      </c>
      <c r="I176" s="160">
        <f t="shared" ref="I176:I229" si="58">H176-G176</f>
        <v>0</v>
      </c>
      <c r="J176" s="160">
        <f t="shared" ref="J176:J229" si="59">(H176/G176)*100</f>
        <v>100</v>
      </c>
    </row>
    <row r="177" spans="1:10" x14ac:dyDescent="0.25">
      <c r="A177" s="195" t="s">
        <v>281</v>
      </c>
      <c r="B177" s="203">
        <v>7002</v>
      </c>
      <c r="C177" s="160">
        <f t="shared" si="54"/>
        <v>75</v>
      </c>
      <c r="D177" s="160">
        <f t="shared" si="55"/>
        <v>75</v>
      </c>
      <c r="E177" s="160">
        <f t="shared" si="56"/>
        <v>0</v>
      </c>
      <c r="F177" s="160">
        <f t="shared" si="57"/>
        <v>100</v>
      </c>
      <c r="G177" s="160">
        <f t="shared" ref="G177" si="60">G178+G179+G180+G181</f>
        <v>75</v>
      </c>
      <c r="H177" s="160">
        <f t="shared" ref="H177" si="61">H178+H179+H180+H181</f>
        <v>75</v>
      </c>
      <c r="I177" s="160">
        <f t="shared" si="58"/>
        <v>0</v>
      </c>
      <c r="J177" s="160">
        <f t="shared" si="59"/>
        <v>100</v>
      </c>
    </row>
    <row r="178" spans="1:10" x14ac:dyDescent="0.25">
      <c r="A178" s="169" t="s">
        <v>284</v>
      </c>
      <c r="B178" s="203" t="s">
        <v>288</v>
      </c>
      <c r="C178" s="160">
        <f t="shared" si="54"/>
        <v>14</v>
      </c>
      <c r="D178" s="160">
        <f t="shared" si="55"/>
        <v>14</v>
      </c>
      <c r="E178" s="160">
        <f t="shared" si="56"/>
        <v>0</v>
      </c>
      <c r="F178" s="160">
        <f t="shared" si="57"/>
        <v>100</v>
      </c>
      <c r="G178" s="160">
        <v>14</v>
      </c>
      <c r="H178" s="160">
        <v>14</v>
      </c>
      <c r="I178" s="160">
        <f t="shared" si="58"/>
        <v>0</v>
      </c>
      <c r="J178" s="160">
        <f t="shared" si="59"/>
        <v>100</v>
      </c>
    </row>
    <row r="179" spans="1:10" x14ac:dyDescent="0.25">
      <c r="A179" s="169" t="s">
        <v>283</v>
      </c>
      <c r="B179" s="203" t="s">
        <v>289</v>
      </c>
      <c r="C179" s="160">
        <f t="shared" si="54"/>
        <v>23</v>
      </c>
      <c r="D179" s="160">
        <f t="shared" si="55"/>
        <v>23</v>
      </c>
      <c r="E179" s="160">
        <f t="shared" si="56"/>
        <v>0</v>
      </c>
      <c r="F179" s="160">
        <f t="shared" si="57"/>
        <v>100</v>
      </c>
      <c r="G179" s="160">
        <v>23</v>
      </c>
      <c r="H179" s="160">
        <v>23</v>
      </c>
      <c r="I179" s="160">
        <f t="shared" si="58"/>
        <v>0</v>
      </c>
      <c r="J179" s="160">
        <f t="shared" si="59"/>
        <v>100</v>
      </c>
    </row>
    <row r="180" spans="1:10" x14ac:dyDescent="0.25">
      <c r="A180" s="169" t="s">
        <v>285</v>
      </c>
      <c r="B180" s="203" t="s">
        <v>290</v>
      </c>
      <c r="C180" s="160">
        <f t="shared" si="54"/>
        <v>11</v>
      </c>
      <c r="D180" s="160">
        <f t="shared" si="55"/>
        <v>11</v>
      </c>
      <c r="E180" s="160">
        <f t="shared" si="56"/>
        <v>0</v>
      </c>
      <c r="F180" s="160">
        <f t="shared" si="57"/>
        <v>100</v>
      </c>
      <c r="G180" s="160">
        <v>11</v>
      </c>
      <c r="H180" s="160">
        <v>11</v>
      </c>
      <c r="I180" s="160">
        <f t="shared" si="58"/>
        <v>0</v>
      </c>
      <c r="J180" s="160">
        <f t="shared" si="59"/>
        <v>100</v>
      </c>
    </row>
    <row r="181" spans="1:10" x14ac:dyDescent="0.25">
      <c r="A181" s="169" t="s">
        <v>286</v>
      </c>
      <c r="B181" s="203" t="s">
        <v>291</v>
      </c>
      <c r="C181" s="160">
        <f t="shared" si="54"/>
        <v>27</v>
      </c>
      <c r="D181" s="160">
        <f t="shared" si="55"/>
        <v>27</v>
      </c>
      <c r="E181" s="160">
        <f t="shared" si="56"/>
        <v>0</v>
      </c>
      <c r="F181" s="160">
        <f t="shared" si="57"/>
        <v>100</v>
      </c>
      <c r="G181" s="160">
        <v>27</v>
      </c>
      <c r="H181" s="160">
        <v>27</v>
      </c>
      <c r="I181" s="160">
        <f t="shared" si="58"/>
        <v>0</v>
      </c>
      <c r="J181" s="160">
        <f t="shared" si="59"/>
        <v>100</v>
      </c>
    </row>
    <row r="182" spans="1:10" x14ac:dyDescent="0.25">
      <c r="A182" s="195" t="s">
        <v>280</v>
      </c>
      <c r="B182" s="203">
        <v>7003</v>
      </c>
      <c r="C182" s="160">
        <f t="shared" si="54"/>
        <v>22</v>
      </c>
      <c r="D182" s="160">
        <f t="shared" si="55"/>
        <v>22</v>
      </c>
      <c r="E182" s="160">
        <f t="shared" si="56"/>
        <v>0</v>
      </c>
      <c r="F182" s="160">
        <f t="shared" si="57"/>
        <v>100</v>
      </c>
      <c r="G182" s="160">
        <v>22</v>
      </c>
      <c r="H182" s="160">
        <v>22</v>
      </c>
      <c r="I182" s="160">
        <f t="shared" si="58"/>
        <v>0</v>
      </c>
      <c r="J182" s="160">
        <f t="shared" si="59"/>
        <v>100</v>
      </c>
    </row>
    <row r="183" spans="1:10" x14ac:dyDescent="0.25">
      <c r="A183" s="195" t="s">
        <v>287</v>
      </c>
      <c r="B183" s="203">
        <v>7004</v>
      </c>
      <c r="C183" s="160">
        <f t="shared" si="54"/>
        <v>127.8</v>
      </c>
      <c r="D183" s="160">
        <f t="shared" si="55"/>
        <v>127.8</v>
      </c>
      <c r="E183" s="160">
        <f t="shared" si="56"/>
        <v>0</v>
      </c>
      <c r="F183" s="160">
        <f t="shared" si="57"/>
        <v>100</v>
      </c>
      <c r="G183" s="160">
        <v>127.8</v>
      </c>
      <c r="H183" s="160">
        <v>127.8</v>
      </c>
      <c r="I183" s="160">
        <f t="shared" si="58"/>
        <v>0</v>
      </c>
      <c r="J183" s="160">
        <f t="shared" si="59"/>
        <v>100</v>
      </c>
    </row>
    <row r="184" spans="1:10" ht="24" x14ac:dyDescent="0.25">
      <c r="A184" s="161" t="s">
        <v>119</v>
      </c>
      <c r="B184" s="202">
        <v>7010</v>
      </c>
      <c r="C184" s="281">
        <f t="shared" si="54"/>
        <v>45494144.879999995</v>
      </c>
      <c r="D184" s="281">
        <f t="shared" si="55"/>
        <v>45494144.879999995</v>
      </c>
      <c r="E184" s="160">
        <f t="shared" si="56"/>
        <v>0</v>
      </c>
      <c r="F184" s="160">
        <f t="shared" si="57"/>
        <v>100</v>
      </c>
      <c r="G184" s="281">
        <f>G185+G186+G191+G192</f>
        <v>45494144.879999995</v>
      </c>
      <c r="H184" s="282">
        <f>H185+H186+H191+H192</f>
        <v>45494144.879999995</v>
      </c>
      <c r="I184" s="160">
        <f t="shared" si="58"/>
        <v>0</v>
      </c>
      <c r="J184" s="160">
        <f t="shared" si="59"/>
        <v>100</v>
      </c>
    </row>
    <row r="185" spans="1:10" x14ac:dyDescent="0.25">
      <c r="A185" s="195" t="s">
        <v>282</v>
      </c>
      <c r="B185" s="203">
        <v>7011</v>
      </c>
      <c r="C185" s="281">
        <f t="shared" si="54"/>
        <v>803683</v>
      </c>
      <c r="D185" s="281">
        <f t="shared" si="55"/>
        <v>803683</v>
      </c>
      <c r="E185" s="160">
        <f t="shared" si="56"/>
        <v>0</v>
      </c>
      <c r="F185" s="160">
        <f t="shared" si="57"/>
        <v>100</v>
      </c>
      <c r="G185" s="281">
        <v>803683</v>
      </c>
      <c r="H185" s="282">
        <v>803683</v>
      </c>
      <c r="I185" s="160">
        <f t="shared" si="58"/>
        <v>0</v>
      </c>
      <c r="J185" s="160">
        <f t="shared" si="59"/>
        <v>100</v>
      </c>
    </row>
    <row r="186" spans="1:10" x14ac:dyDescent="0.25">
      <c r="A186" s="195" t="s">
        <v>281</v>
      </c>
      <c r="B186" s="203">
        <v>7012</v>
      </c>
      <c r="C186" s="281">
        <f t="shared" si="54"/>
        <v>17697222.039999999</v>
      </c>
      <c r="D186" s="281">
        <f t="shared" si="55"/>
        <v>17697222.039999999</v>
      </c>
      <c r="E186" s="160">
        <f t="shared" si="56"/>
        <v>0</v>
      </c>
      <c r="F186" s="160">
        <f t="shared" si="57"/>
        <v>100</v>
      </c>
      <c r="G186" s="281">
        <f>G187+G188+G189+G190</f>
        <v>17697222.039999999</v>
      </c>
      <c r="H186" s="282">
        <f>H187+H188+H189+H190</f>
        <v>17697222.039999999</v>
      </c>
      <c r="I186" s="160">
        <f t="shared" si="58"/>
        <v>0</v>
      </c>
      <c r="J186" s="160">
        <f t="shared" si="59"/>
        <v>100</v>
      </c>
    </row>
    <row r="187" spans="1:10" x14ac:dyDescent="0.25">
      <c r="A187" s="169" t="s">
        <v>284</v>
      </c>
      <c r="B187" s="203" t="s">
        <v>292</v>
      </c>
      <c r="C187" s="281">
        <f t="shared" si="54"/>
        <v>2729648.66</v>
      </c>
      <c r="D187" s="281">
        <f t="shared" si="55"/>
        <v>2729648.66</v>
      </c>
      <c r="E187" s="160">
        <f t="shared" si="56"/>
        <v>0</v>
      </c>
      <c r="F187" s="160">
        <f t="shared" si="57"/>
        <v>100</v>
      </c>
      <c r="G187" s="281">
        <v>2729648.66</v>
      </c>
      <c r="H187" s="282">
        <v>2729648.66</v>
      </c>
      <c r="I187" s="160">
        <f t="shared" si="58"/>
        <v>0</v>
      </c>
      <c r="J187" s="160">
        <f t="shared" si="59"/>
        <v>100</v>
      </c>
    </row>
    <row r="188" spans="1:10" x14ac:dyDescent="0.25">
      <c r="A188" s="169" t="s">
        <v>283</v>
      </c>
      <c r="B188" s="203" t="s">
        <v>293</v>
      </c>
      <c r="C188" s="281">
        <f t="shared" si="54"/>
        <v>6369180.1600000001</v>
      </c>
      <c r="D188" s="281">
        <f t="shared" si="55"/>
        <v>6369180.1600000001</v>
      </c>
      <c r="E188" s="160">
        <f t="shared" si="56"/>
        <v>0</v>
      </c>
      <c r="F188" s="160">
        <f t="shared" si="57"/>
        <v>100</v>
      </c>
      <c r="G188" s="281">
        <v>6369180.1600000001</v>
      </c>
      <c r="H188" s="282">
        <v>6369180.1600000001</v>
      </c>
      <c r="I188" s="160">
        <f t="shared" si="58"/>
        <v>0</v>
      </c>
      <c r="J188" s="160">
        <f t="shared" si="59"/>
        <v>100</v>
      </c>
    </row>
    <row r="189" spans="1:10" x14ac:dyDescent="0.25">
      <c r="A189" s="169" t="s">
        <v>285</v>
      </c>
      <c r="B189" s="203" t="s">
        <v>294</v>
      </c>
      <c r="C189" s="281">
        <f t="shared" si="54"/>
        <v>2684154.5</v>
      </c>
      <c r="D189" s="281">
        <f t="shared" si="55"/>
        <v>2684154.5</v>
      </c>
      <c r="E189" s="160">
        <f t="shared" si="56"/>
        <v>0</v>
      </c>
      <c r="F189" s="160">
        <f t="shared" si="57"/>
        <v>100</v>
      </c>
      <c r="G189" s="281">
        <v>2684154.5</v>
      </c>
      <c r="H189" s="282">
        <v>2684154.5</v>
      </c>
      <c r="I189" s="160">
        <f t="shared" si="58"/>
        <v>0</v>
      </c>
      <c r="J189" s="160">
        <f t="shared" si="59"/>
        <v>100</v>
      </c>
    </row>
    <row r="190" spans="1:10" x14ac:dyDescent="0.25">
      <c r="A190" s="169" t="s">
        <v>286</v>
      </c>
      <c r="B190" s="203" t="s">
        <v>295</v>
      </c>
      <c r="C190" s="281">
        <f t="shared" si="54"/>
        <v>5914238.7199999997</v>
      </c>
      <c r="D190" s="281">
        <f t="shared" si="55"/>
        <v>5914238.7199999997</v>
      </c>
      <c r="E190" s="160">
        <f t="shared" si="56"/>
        <v>0</v>
      </c>
      <c r="F190" s="160">
        <f t="shared" si="57"/>
        <v>100</v>
      </c>
      <c r="G190" s="281">
        <v>5914238.7199999997</v>
      </c>
      <c r="H190" s="282">
        <v>5914238.7199999997</v>
      </c>
      <c r="I190" s="160">
        <f t="shared" si="58"/>
        <v>0</v>
      </c>
      <c r="J190" s="160">
        <f t="shared" si="59"/>
        <v>100</v>
      </c>
    </row>
    <row r="191" spans="1:10" x14ac:dyDescent="0.25">
      <c r="A191" s="195" t="s">
        <v>280</v>
      </c>
      <c r="B191" s="203">
        <v>7013</v>
      </c>
      <c r="C191" s="281">
        <f t="shared" si="54"/>
        <v>5004355.84</v>
      </c>
      <c r="D191" s="281">
        <f t="shared" si="55"/>
        <v>5004355.84</v>
      </c>
      <c r="E191" s="160">
        <f t="shared" si="56"/>
        <v>0</v>
      </c>
      <c r="F191" s="160">
        <f t="shared" si="57"/>
        <v>100</v>
      </c>
      <c r="G191" s="281">
        <v>5004355.84</v>
      </c>
      <c r="H191" s="282">
        <v>5004355.84</v>
      </c>
      <c r="I191" s="160">
        <f t="shared" si="58"/>
        <v>0</v>
      </c>
      <c r="J191" s="160">
        <f t="shared" si="59"/>
        <v>100</v>
      </c>
    </row>
    <row r="192" spans="1:10" x14ac:dyDescent="0.25">
      <c r="A192" s="195" t="s">
        <v>287</v>
      </c>
      <c r="B192" s="203">
        <v>7014</v>
      </c>
      <c r="C192" s="281">
        <f t="shared" si="54"/>
        <v>21988884</v>
      </c>
      <c r="D192" s="281">
        <f t="shared" si="55"/>
        <v>21988884</v>
      </c>
      <c r="E192" s="160">
        <f t="shared" si="56"/>
        <v>0</v>
      </c>
      <c r="F192" s="160">
        <f t="shared" si="57"/>
        <v>100</v>
      </c>
      <c r="G192" s="281">
        <v>21988884</v>
      </c>
      <c r="H192" s="282">
        <v>21988884</v>
      </c>
      <c r="I192" s="160">
        <f t="shared" si="58"/>
        <v>0</v>
      </c>
      <c r="J192" s="160">
        <f t="shared" si="59"/>
        <v>100</v>
      </c>
    </row>
    <row r="193" spans="1:10" ht="36" x14ac:dyDescent="0.25">
      <c r="A193" s="161" t="s">
        <v>120</v>
      </c>
      <c r="B193" s="202">
        <v>7020</v>
      </c>
      <c r="C193" s="281">
        <f t="shared" si="54"/>
        <v>16519.297342047928</v>
      </c>
      <c r="D193" s="281">
        <f t="shared" si="55"/>
        <v>16519.297342047928</v>
      </c>
      <c r="E193" s="160">
        <f t="shared" si="56"/>
        <v>0</v>
      </c>
      <c r="F193" s="160">
        <f t="shared" si="57"/>
        <v>100</v>
      </c>
      <c r="G193" s="281">
        <f t="shared" ref="G193" si="62">G184/G175/12</f>
        <v>16519.297342047928</v>
      </c>
      <c r="H193" s="282">
        <f t="shared" ref="H193" si="63">H184/H175/12</f>
        <v>16519.297342047928</v>
      </c>
      <c r="I193" s="160">
        <f t="shared" si="58"/>
        <v>0</v>
      </c>
      <c r="J193" s="160">
        <f t="shared" si="59"/>
        <v>100</v>
      </c>
    </row>
    <row r="194" spans="1:10" x14ac:dyDescent="0.25">
      <c r="A194" s="195" t="s">
        <v>282</v>
      </c>
      <c r="B194" s="203">
        <v>7021</v>
      </c>
      <c r="C194" s="281">
        <f t="shared" si="54"/>
        <v>66973.583333333328</v>
      </c>
      <c r="D194" s="281">
        <f t="shared" si="55"/>
        <v>66973.583333333328</v>
      </c>
      <c r="E194" s="160">
        <f t="shared" si="56"/>
        <v>0</v>
      </c>
      <c r="F194" s="160">
        <f t="shared" si="57"/>
        <v>100</v>
      </c>
      <c r="G194" s="281">
        <f t="shared" ref="G194" si="64">G185/12</f>
        <v>66973.583333333328</v>
      </c>
      <c r="H194" s="282">
        <f t="shared" ref="H194" si="65">H185/12</f>
        <v>66973.583333333328</v>
      </c>
      <c r="I194" s="160">
        <f t="shared" si="58"/>
        <v>0</v>
      </c>
      <c r="J194" s="160">
        <f t="shared" si="59"/>
        <v>100</v>
      </c>
    </row>
    <row r="195" spans="1:10" x14ac:dyDescent="0.25">
      <c r="A195" s="195" t="s">
        <v>281</v>
      </c>
      <c r="B195" s="203">
        <v>7022</v>
      </c>
      <c r="C195" s="281">
        <f t="shared" si="54"/>
        <v>19663.580044444443</v>
      </c>
      <c r="D195" s="281">
        <f t="shared" si="55"/>
        <v>19663.580044444443</v>
      </c>
      <c r="E195" s="160">
        <f t="shared" si="56"/>
        <v>0</v>
      </c>
      <c r="F195" s="160">
        <f t="shared" si="57"/>
        <v>100</v>
      </c>
      <c r="G195" s="281">
        <f t="shared" ref="G195" si="66">G186/12/G177</f>
        <v>19663.580044444443</v>
      </c>
      <c r="H195" s="282">
        <f t="shared" ref="H195:H197" si="67">H186/12/H177</f>
        <v>19663.580044444443</v>
      </c>
      <c r="I195" s="160">
        <f t="shared" si="58"/>
        <v>0</v>
      </c>
      <c r="J195" s="160">
        <f t="shared" si="59"/>
        <v>100</v>
      </c>
    </row>
    <row r="196" spans="1:10" x14ac:dyDescent="0.25">
      <c r="A196" s="169" t="s">
        <v>284</v>
      </c>
      <c r="B196" s="203" t="s">
        <v>296</v>
      </c>
      <c r="C196" s="281">
        <f t="shared" si="54"/>
        <v>16247.908690476192</v>
      </c>
      <c r="D196" s="281">
        <f t="shared" si="55"/>
        <v>16247.908690476192</v>
      </c>
      <c r="E196" s="160">
        <f t="shared" si="56"/>
        <v>0</v>
      </c>
      <c r="F196" s="160">
        <f t="shared" si="57"/>
        <v>100</v>
      </c>
      <c r="G196" s="281">
        <f t="shared" ref="G196" si="68">G187/12/G178</f>
        <v>16247.908690476192</v>
      </c>
      <c r="H196" s="282">
        <f t="shared" si="67"/>
        <v>16247.908690476192</v>
      </c>
      <c r="I196" s="160">
        <f t="shared" si="58"/>
        <v>0</v>
      </c>
      <c r="J196" s="160">
        <f t="shared" si="59"/>
        <v>100</v>
      </c>
    </row>
    <row r="197" spans="1:10" x14ac:dyDescent="0.25">
      <c r="A197" s="169" t="s">
        <v>283</v>
      </c>
      <c r="B197" s="203" t="s">
        <v>297</v>
      </c>
      <c r="C197" s="281">
        <f t="shared" si="54"/>
        <v>23076.739710144928</v>
      </c>
      <c r="D197" s="281">
        <f t="shared" si="55"/>
        <v>23076.739710144928</v>
      </c>
      <c r="E197" s="160">
        <f t="shared" si="56"/>
        <v>0</v>
      </c>
      <c r="F197" s="160">
        <f t="shared" si="57"/>
        <v>100</v>
      </c>
      <c r="G197" s="281">
        <f t="shared" ref="G197" si="69">G188/12/G179</f>
        <v>23076.739710144928</v>
      </c>
      <c r="H197" s="282">
        <f t="shared" si="67"/>
        <v>23076.739710144928</v>
      </c>
      <c r="I197" s="160">
        <f t="shared" si="58"/>
        <v>0</v>
      </c>
      <c r="J197" s="160">
        <f t="shared" si="59"/>
        <v>100</v>
      </c>
    </row>
    <row r="198" spans="1:10" x14ac:dyDescent="0.25">
      <c r="A198" s="169" t="s">
        <v>285</v>
      </c>
      <c r="B198" s="203" t="s">
        <v>298</v>
      </c>
      <c r="C198" s="281">
        <f t="shared" si="54"/>
        <v>20334.503787878788</v>
      </c>
      <c r="D198" s="281">
        <f t="shared" si="55"/>
        <v>20334.503787878788</v>
      </c>
      <c r="E198" s="160">
        <f t="shared" si="56"/>
        <v>0</v>
      </c>
      <c r="F198" s="160">
        <f t="shared" si="57"/>
        <v>100</v>
      </c>
      <c r="G198" s="281">
        <f t="shared" ref="G198" si="70">G189/G180/12</f>
        <v>20334.503787878788</v>
      </c>
      <c r="H198" s="282">
        <f t="shared" ref="H198:H199" si="71">H189/H180/12</f>
        <v>20334.503787878788</v>
      </c>
      <c r="I198" s="160">
        <f t="shared" si="58"/>
        <v>0</v>
      </c>
      <c r="J198" s="160">
        <f t="shared" si="59"/>
        <v>100</v>
      </c>
    </row>
    <row r="199" spans="1:10" x14ac:dyDescent="0.25">
      <c r="A199" s="169" t="s">
        <v>286</v>
      </c>
      <c r="B199" s="203" t="s">
        <v>299</v>
      </c>
      <c r="C199" s="281">
        <f t="shared" si="54"/>
        <v>18253.82320987654</v>
      </c>
      <c r="D199" s="281">
        <f t="shared" si="55"/>
        <v>18253.82320987654</v>
      </c>
      <c r="E199" s="160">
        <f t="shared" si="56"/>
        <v>0</v>
      </c>
      <c r="F199" s="160">
        <f t="shared" si="57"/>
        <v>100</v>
      </c>
      <c r="G199" s="281">
        <f t="shared" ref="G199" si="72">G190/G181/12</f>
        <v>18253.82320987654</v>
      </c>
      <c r="H199" s="282">
        <f t="shared" si="71"/>
        <v>18253.82320987654</v>
      </c>
      <c r="I199" s="160">
        <f t="shared" si="58"/>
        <v>0</v>
      </c>
      <c r="J199" s="160">
        <f t="shared" si="59"/>
        <v>100</v>
      </c>
    </row>
    <row r="200" spans="1:10" x14ac:dyDescent="0.25">
      <c r="A200" s="195" t="s">
        <v>280</v>
      </c>
      <c r="B200" s="203">
        <v>7023</v>
      </c>
      <c r="C200" s="281">
        <f t="shared" si="54"/>
        <v>18955.893333333333</v>
      </c>
      <c r="D200" s="281">
        <f t="shared" si="55"/>
        <v>18955.893333333333</v>
      </c>
      <c r="E200" s="160">
        <f t="shared" si="56"/>
        <v>0</v>
      </c>
      <c r="F200" s="160">
        <f t="shared" si="57"/>
        <v>100</v>
      </c>
      <c r="G200" s="281">
        <f t="shared" ref="G200" si="73">G191/12/G182</f>
        <v>18955.893333333333</v>
      </c>
      <c r="H200" s="282">
        <f t="shared" ref="H200" si="74">H191/12/H182</f>
        <v>18955.893333333333</v>
      </c>
      <c r="I200" s="160">
        <f t="shared" si="58"/>
        <v>0</v>
      </c>
      <c r="J200" s="160">
        <f t="shared" si="59"/>
        <v>100</v>
      </c>
    </row>
    <row r="201" spans="1:10" x14ac:dyDescent="0.25">
      <c r="A201" s="195" t="s">
        <v>287</v>
      </c>
      <c r="B201" s="203">
        <v>7024</v>
      </c>
      <c r="C201" s="281">
        <f t="shared" si="54"/>
        <v>14338.082942097026</v>
      </c>
      <c r="D201" s="281">
        <f t="shared" si="55"/>
        <v>14338.082942097026</v>
      </c>
      <c r="E201" s="160">
        <f t="shared" si="56"/>
        <v>0</v>
      </c>
      <c r="F201" s="160">
        <f t="shared" si="57"/>
        <v>100</v>
      </c>
      <c r="G201" s="281">
        <f t="shared" ref="G201" si="75">G192/G183/12</f>
        <v>14338.082942097026</v>
      </c>
      <c r="H201" s="282">
        <f t="shared" ref="H201" si="76">H192/H183/12</f>
        <v>14338.082942097026</v>
      </c>
      <c r="I201" s="160">
        <f t="shared" si="58"/>
        <v>0</v>
      </c>
      <c r="J201" s="160">
        <f t="shared" si="59"/>
        <v>100</v>
      </c>
    </row>
    <row r="202" spans="1:10" ht="24" x14ac:dyDescent="0.25">
      <c r="A202" s="197" t="s">
        <v>121</v>
      </c>
      <c r="B202" s="202">
        <v>7030</v>
      </c>
      <c r="C202" s="281">
        <f t="shared" si="54"/>
        <v>0</v>
      </c>
      <c r="D202" s="281">
        <f t="shared" si="55"/>
        <v>0</v>
      </c>
      <c r="E202" s="160">
        <f t="shared" si="56"/>
        <v>0</v>
      </c>
      <c r="F202" s="160">
        <v>0</v>
      </c>
      <c r="G202" s="160">
        <v>0</v>
      </c>
      <c r="H202" s="160">
        <v>0</v>
      </c>
      <c r="I202" s="160">
        <f t="shared" si="58"/>
        <v>0</v>
      </c>
      <c r="J202" s="160">
        <v>0</v>
      </c>
    </row>
    <row r="203" spans="1:10" ht="24" x14ac:dyDescent="0.25">
      <c r="A203" s="204" t="s">
        <v>122</v>
      </c>
      <c r="B203" s="188"/>
      <c r="C203" s="281">
        <f t="shared" si="54"/>
        <v>0</v>
      </c>
      <c r="D203" s="281">
        <f t="shared" si="55"/>
        <v>0</v>
      </c>
      <c r="E203" s="160">
        <f t="shared" si="56"/>
        <v>0</v>
      </c>
      <c r="F203" s="160">
        <v>0</v>
      </c>
      <c r="G203" s="160"/>
      <c r="H203" s="160"/>
      <c r="I203" s="160">
        <f t="shared" si="58"/>
        <v>0</v>
      </c>
      <c r="J203" s="160">
        <v>0</v>
      </c>
    </row>
    <row r="204" spans="1:10" ht="24" x14ac:dyDescent="0.25">
      <c r="A204" s="205" t="s">
        <v>306</v>
      </c>
      <c r="B204" s="183">
        <v>7040</v>
      </c>
      <c r="C204" s="281">
        <f t="shared" si="54"/>
        <v>11363.5</v>
      </c>
      <c r="D204" s="281">
        <f t="shared" si="55"/>
        <v>13042.2</v>
      </c>
      <c r="E204" s="160">
        <f t="shared" si="56"/>
        <v>1678.7000000000007</v>
      </c>
      <c r="F204" s="277">
        <f t="shared" si="57"/>
        <v>114.77273727284729</v>
      </c>
      <c r="G204" s="160">
        <f>SUM(G205:G210)</f>
        <v>11363.5</v>
      </c>
      <c r="H204" s="275">
        <f>SUM(H205:H210)</f>
        <v>13042.2</v>
      </c>
      <c r="I204" s="160">
        <f t="shared" si="58"/>
        <v>1678.7000000000007</v>
      </c>
      <c r="J204" s="277">
        <f t="shared" si="59"/>
        <v>114.77273727284729</v>
      </c>
    </row>
    <row r="205" spans="1:10" x14ac:dyDescent="0.25">
      <c r="A205" s="206" t="s">
        <v>300</v>
      </c>
      <c r="B205" s="178">
        <v>7041</v>
      </c>
      <c r="C205" s="281">
        <f t="shared" si="54"/>
        <v>204.9</v>
      </c>
      <c r="D205" s="281">
        <f t="shared" si="55"/>
        <v>-205</v>
      </c>
      <c r="E205" s="160">
        <f t="shared" si="56"/>
        <v>-409.9</v>
      </c>
      <c r="F205" s="277">
        <f t="shared" si="57"/>
        <v>-100.04880429477794</v>
      </c>
      <c r="G205" s="160">
        <v>204.9</v>
      </c>
      <c r="H205" s="160">
        <v>-205</v>
      </c>
      <c r="I205" s="160">
        <f t="shared" si="58"/>
        <v>-409.9</v>
      </c>
      <c r="J205" s="277">
        <f t="shared" si="59"/>
        <v>-100.04880429477794</v>
      </c>
    </row>
    <row r="206" spans="1:10" ht="24.75" x14ac:dyDescent="0.25">
      <c r="A206" s="207" t="s">
        <v>301</v>
      </c>
      <c r="B206" s="178">
        <v>7042</v>
      </c>
      <c r="C206" s="281">
        <f t="shared" si="54"/>
        <v>9178.7999999999993</v>
      </c>
      <c r="D206" s="281">
        <f t="shared" si="55"/>
        <v>11267.4</v>
      </c>
      <c r="E206" s="160">
        <f t="shared" si="56"/>
        <v>2088.6000000000004</v>
      </c>
      <c r="F206" s="277">
        <f t="shared" si="57"/>
        <v>122.75460844554844</v>
      </c>
      <c r="G206" s="160">
        <v>9178.7999999999993</v>
      </c>
      <c r="H206" s="160">
        <v>11267.4</v>
      </c>
      <c r="I206" s="160">
        <f t="shared" si="58"/>
        <v>2088.6000000000004</v>
      </c>
      <c r="J206" s="277">
        <f t="shared" si="59"/>
        <v>122.75460844554844</v>
      </c>
    </row>
    <row r="207" spans="1:10" ht="24.75" x14ac:dyDescent="0.25">
      <c r="A207" s="207" t="s">
        <v>302</v>
      </c>
      <c r="B207" s="178">
        <v>7043</v>
      </c>
      <c r="C207" s="281">
        <f t="shared" si="54"/>
        <v>0</v>
      </c>
      <c r="D207" s="281">
        <f t="shared" si="55"/>
        <v>0</v>
      </c>
      <c r="E207" s="160">
        <f t="shared" si="56"/>
        <v>0</v>
      </c>
      <c r="F207" s="160">
        <v>0</v>
      </c>
      <c r="G207" s="160">
        <v>0</v>
      </c>
      <c r="H207" s="160">
        <v>0</v>
      </c>
      <c r="I207" s="160">
        <f t="shared" si="58"/>
        <v>0</v>
      </c>
      <c r="J207" s="160">
        <v>0</v>
      </c>
    </row>
    <row r="208" spans="1:10" x14ac:dyDescent="0.25">
      <c r="A208" s="207" t="s">
        <v>303</v>
      </c>
      <c r="B208" s="178">
        <v>7044</v>
      </c>
      <c r="C208" s="281">
        <f t="shared" si="54"/>
        <v>1714.6</v>
      </c>
      <c r="D208" s="281">
        <f t="shared" si="55"/>
        <v>1714.6</v>
      </c>
      <c r="E208" s="160">
        <f t="shared" si="56"/>
        <v>0</v>
      </c>
      <c r="F208" s="160">
        <f t="shared" si="57"/>
        <v>100</v>
      </c>
      <c r="G208" s="160">
        <v>1714.6</v>
      </c>
      <c r="H208" s="160">
        <v>1714.6</v>
      </c>
      <c r="I208" s="160">
        <f t="shared" si="58"/>
        <v>0</v>
      </c>
      <c r="J208" s="160">
        <f t="shared" si="59"/>
        <v>100</v>
      </c>
    </row>
    <row r="209" spans="1:10" x14ac:dyDescent="0.25">
      <c r="A209" s="207" t="s">
        <v>304</v>
      </c>
      <c r="B209" s="178">
        <v>7045</v>
      </c>
      <c r="C209" s="281">
        <f t="shared" si="54"/>
        <v>265.2</v>
      </c>
      <c r="D209" s="281">
        <f t="shared" si="55"/>
        <v>265.2</v>
      </c>
      <c r="E209" s="160">
        <f t="shared" si="56"/>
        <v>0</v>
      </c>
      <c r="F209" s="160">
        <f t="shared" si="57"/>
        <v>100</v>
      </c>
      <c r="G209" s="160">
        <v>265.2</v>
      </c>
      <c r="H209" s="160">
        <v>265.2</v>
      </c>
      <c r="I209" s="160">
        <f t="shared" si="58"/>
        <v>0</v>
      </c>
      <c r="J209" s="160">
        <f t="shared" si="59"/>
        <v>100</v>
      </c>
    </row>
    <row r="210" spans="1:10" x14ac:dyDescent="0.25">
      <c r="A210" s="207" t="s">
        <v>305</v>
      </c>
      <c r="B210" s="178">
        <v>7046</v>
      </c>
      <c r="C210" s="281">
        <f t="shared" si="54"/>
        <v>0</v>
      </c>
      <c r="D210" s="281">
        <f t="shared" si="55"/>
        <v>0</v>
      </c>
      <c r="E210" s="160">
        <f t="shared" si="56"/>
        <v>0</v>
      </c>
      <c r="F210" s="160">
        <v>0</v>
      </c>
      <c r="G210" s="160">
        <v>0</v>
      </c>
      <c r="H210" s="160">
        <v>0</v>
      </c>
      <c r="I210" s="160">
        <f t="shared" si="58"/>
        <v>0</v>
      </c>
      <c r="J210" s="160">
        <v>0</v>
      </c>
    </row>
    <row r="211" spans="1:10" x14ac:dyDescent="0.25">
      <c r="A211" s="208" t="s">
        <v>311</v>
      </c>
      <c r="B211" s="183">
        <v>7050</v>
      </c>
      <c r="C211" s="281">
        <f t="shared" si="54"/>
        <v>0</v>
      </c>
      <c r="D211" s="281">
        <f t="shared" si="55"/>
        <v>0</v>
      </c>
      <c r="E211" s="160">
        <f t="shared" si="56"/>
        <v>0</v>
      </c>
      <c r="F211" s="160">
        <v>0</v>
      </c>
      <c r="G211" s="160">
        <v>0</v>
      </c>
      <c r="H211" s="160">
        <v>0</v>
      </c>
      <c r="I211" s="160">
        <f t="shared" si="58"/>
        <v>0</v>
      </c>
      <c r="J211" s="160">
        <v>0</v>
      </c>
    </row>
    <row r="212" spans="1:10" ht="24.75" x14ac:dyDescent="0.25">
      <c r="A212" s="206" t="s">
        <v>307</v>
      </c>
      <c r="B212" s="178">
        <v>7051</v>
      </c>
      <c r="C212" s="281">
        <f t="shared" si="54"/>
        <v>0</v>
      </c>
      <c r="D212" s="281">
        <f t="shared" si="55"/>
        <v>0</v>
      </c>
      <c r="E212" s="160">
        <f t="shared" si="56"/>
        <v>0</v>
      </c>
      <c r="F212" s="160">
        <v>0</v>
      </c>
      <c r="G212" s="160">
        <v>0</v>
      </c>
      <c r="H212" s="160">
        <v>0</v>
      </c>
      <c r="I212" s="160">
        <f t="shared" si="58"/>
        <v>0</v>
      </c>
      <c r="J212" s="160">
        <v>0</v>
      </c>
    </row>
    <row r="213" spans="1:10" x14ac:dyDescent="0.25">
      <c r="A213" s="206" t="s">
        <v>308</v>
      </c>
      <c r="B213" s="178">
        <v>7052</v>
      </c>
      <c r="C213" s="281">
        <f t="shared" si="54"/>
        <v>0</v>
      </c>
      <c r="D213" s="281">
        <f t="shared" si="55"/>
        <v>0</v>
      </c>
      <c r="E213" s="160">
        <f t="shared" si="56"/>
        <v>0</v>
      </c>
      <c r="F213" s="160">
        <v>0</v>
      </c>
      <c r="G213" s="160">
        <v>0</v>
      </c>
      <c r="H213" s="160">
        <v>0</v>
      </c>
      <c r="I213" s="160">
        <f t="shared" si="58"/>
        <v>0</v>
      </c>
      <c r="J213" s="160">
        <v>0</v>
      </c>
    </row>
    <row r="214" spans="1:10" x14ac:dyDescent="0.25">
      <c r="A214" s="206" t="s">
        <v>309</v>
      </c>
      <c r="B214" s="178">
        <v>7053</v>
      </c>
      <c r="C214" s="281">
        <f t="shared" si="54"/>
        <v>0</v>
      </c>
      <c r="D214" s="281">
        <f t="shared" si="55"/>
        <v>0</v>
      </c>
      <c r="E214" s="160">
        <f t="shared" si="56"/>
        <v>0</v>
      </c>
      <c r="F214" s="160">
        <v>0</v>
      </c>
      <c r="G214" s="160">
        <v>0</v>
      </c>
      <c r="H214" s="160">
        <v>0</v>
      </c>
      <c r="I214" s="160">
        <f t="shared" si="58"/>
        <v>0</v>
      </c>
      <c r="J214" s="160">
        <v>0</v>
      </c>
    </row>
    <row r="215" spans="1:10" x14ac:dyDescent="0.25">
      <c r="A215" s="206" t="s">
        <v>310</v>
      </c>
      <c r="B215" s="178">
        <v>7054</v>
      </c>
      <c r="C215" s="281">
        <f t="shared" si="54"/>
        <v>0</v>
      </c>
      <c r="D215" s="281">
        <f t="shared" si="55"/>
        <v>0.2</v>
      </c>
      <c r="E215" s="160">
        <f t="shared" si="56"/>
        <v>0.2</v>
      </c>
      <c r="F215" s="160">
        <v>0</v>
      </c>
      <c r="G215" s="160">
        <v>0</v>
      </c>
      <c r="H215" s="160">
        <v>0.2</v>
      </c>
      <c r="I215" s="160">
        <f t="shared" si="58"/>
        <v>0.2</v>
      </c>
      <c r="J215" s="160">
        <v>0</v>
      </c>
    </row>
    <row r="216" spans="1:10" x14ac:dyDescent="0.25">
      <c r="A216" s="208" t="s">
        <v>314</v>
      </c>
      <c r="B216" s="183">
        <v>7060</v>
      </c>
      <c r="C216" s="281">
        <f t="shared" si="54"/>
        <v>7470.9</v>
      </c>
      <c r="D216" s="281">
        <f t="shared" si="55"/>
        <v>7470.9</v>
      </c>
      <c r="E216" s="160">
        <f t="shared" si="56"/>
        <v>0</v>
      </c>
      <c r="F216" s="160">
        <f t="shared" si="57"/>
        <v>100</v>
      </c>
      <c r="G216" s="281">
        <f>G217</f>
        <v>7470.9</v>
      </c>
      <c r="H216" s="284">
        <f>H217</f>
        <v>7470.9</v>
      </c>
      <c r="I216" s="160">
        <f t="shared" si="58"/>
        <v>0</v>
      </c>
      <c r="J216" s="160">
        <f t="shared" si="59"/>
        <v>100</v>
      </c>
    </row>
    <row r="217" spans="1:10" x14ac:dyDescent="0.25">
      <c r="A217" s="206" t="s">
        <v>312</v>
      </c>
      <c r="B217" s="178">
        <v>7061</v>
      </c>
      <c r="C217" s="281">
        <f t="shared" si="54"/>
        <v>7470.9</v>
      </c>
      <c r="D217" s="281">
        <f t="shared" si="55"/>
        <v>7470.9</v>
      </c>
      <c r="E217" s="160">
        <f t="shared" si="56"/>
        <v>0</v>
      </c>
      <c r="F217" s="160">
        <f t="shared" si="57"/>
        <v>100</v>
      </c>
      <c r="G217" s="281">
        <v>7470.9</v>
      </c>
      <c r="H217" s="281">
        <v>7470.9</v>
      </c>
      <c r="I217" s="160">
        <f t="shared" si="58"/>
        <v>0</v>
      </c>
      <c r="J217" s="160">
        <f t="shared" si="59"/>
        <v>100</v>
      </c>
    </row>
    <row r="218" spans="1:10" x14ac:dyDescent="0.25">
      <c r="A218" s="279" t="s">
        <v>315</v>
      </c>
      <c r="B218" s="183">
        <v>7070</v>
      </c>
      <c r="C218" s="281">
        <f t="shared" si="54"/>
        <v>6556.6</v>
      </c>
      <c r="D218" s="281">
        <f t="shared" si="55"/>
        <v>6556.5999999999995</v>
      </c>
      <c r="E218" s="160">
        <f t="shared" si="56"/>
        <v>0</v>
      </c>
      <c r="F218" s="160">
        <f t="shared" si="57"/>
        <v>99.999999999999986</v>
      </c>
      <c r="G218" s="281">
        <f>G219</f>
        <v>6556.6</v>
      </c>
      <c r="H218" s="284">
        <f>H219</f>
        <v>6556.5999999999995</v>
      </c>
      <c r="I218" s="160">
        <f t="shared" si="58"/>
        <v>0</v>
      </c>
      <c r="J218" s="160">
        <f t="shared" si="59"/>
        <v>99.999999999999986</v>
      </c>
    </row>
    <row r="219" spans="1:10" x14ac:dyDescent="0.25">
      <c r="A219" s="206" t="s">
        <v>316</v>
      </c>
      <c r="B219" s="178">
        <v>7071</v>
      </c>
      <c r="C219" s="281">
        <f t="shared" si="54"/>
        <v>6556.6</v>
      </c>
      <c r="D219" s="281">
        <f t="shared" si="55"/>
        <v>6556.5999999999995</v>
      </c>
      <c r="E219" s="160">
        <f t="shared" si="56"/>
        <v>0</v>
      </c>
      <c r="F219" s="160">
        <f t="shared" si="57"/>
        <v>99.999999999999986</v>
      </c>
      <c r="G219" s="281">
        <v>6556.6</v>
      </c>
      <c r="H219" s="281">
        <f>SUM(H220:H224)</f>
        <v>6556.5999999999995</v>
      </c>
      <c r="I219" s="160">
        <f t="shared" si="58"/>
        <v>0</v>
      </c>
      <c r="J219" s="160">
        <f t="shared" si="59"/>
        <v>99.999999999999986</v>
      </c>
    </row>
    <row r="220" spans="1:10" x14ac:dyDescent="0.25">
      <c r="A220" s="209" t="s">
        <v>123</v>
      </c>
      <c r="B220" s="178" t="s">
        <v>317</v>
      </c>
      <c r="C220" s="281">
        <f t="shared" si="54"/>
        <v>6036.2</v>
      </c>
      <c r="D220" s="281">
        <f t="shared" si="55"/>
        <v>6036.2</v>
      </c>
      <c r="E220" s="160">
        <f t="shared" si="56"/>
        <v>0</v>
      </c>
      <c r="F220" s="160">
        <f t="shared" si="57"/>
        <v>100</v>
      </c>
      <c r="G220" s="281">
        <v>6036.2</v>
      </c>
      <c r="H220" s="281">
        <v>6036.2</v>
      </c>
      <c r="I220" s="160">
        <f t="shared" si="58"/>
        <v>0</v>
      </c>
      <c r="J220" s="160">
        <f t="shared" si="59"/>
        <v>100</v>
      </c>
    </row>
    <row r="221" spans="1:10" x14ac:dyDescent="0.25">
      <c r="A221" s="209" t="s">
        <v>124</v>
      </c>
      <c r="B221" s="178" t="s">
        <v>318</v>
      </c>
      <c r="C221" s="281">
        <f t="shared" si="54"/>
        <v>0</v>
      </c>
      <c r="D221" s="281">
        <f t="shared" si="55"/>
        <v>0</v>
      </c>
      <c r="E221" s="160">
        <f t="shared" si="56"/>
        <v>0</v>
      </c>
      <c r="F221" s="160">
        <v>0</v>
      </c>
      <c r="G221" s="281"/>
      <c r="H221" s="281">
        <v>0</v>
      </c>
      <c r="I221" s="160">
        <f t="shared" si="58"/>
        <v>0</v>
      </c>
      <c r="J221" s="160">
        <v>0</v>
      </c>
    </row>
    <row r="222" spans="1:10" x14ac:dyDescent="0.25">
      <c r="A222" s="209" t="s">
        <v>125</v>
      </c>
      <c r="B222" s="178" t="s">
        <v>319</v>
      </c>
      <c r="C222" s="281">
        <f t="shared" si="54"/>
        <v>0</v>
      </c>
      <c r="D222" s="281">
        <f t="shared" si="55"/>
        <v>0</v>
      </c>
      <c r="E222" s="160">
        <f t="shared" si="56"/>
        <v>0</v>
      </c>
      <c r="F222" s="160">
        <v>0</v>
      </c>
      <c r="G222" s="281"/>
      <c r="H222" s="281">
        <v>0</v>
      </c>
      <c r="I222" s="160">
        <f t="shared" si="58"/>
        <v>0</v>
      </c>
      <c r="J222" s="160">
        <v>0</v>
      </c>
    </row>
    <row r="223" spans="1:10" x14ac:dyDescent="0.25">
      <c r="A223" s="209" t="s">
        <v>126</v>
      </c>
      <c r="B223" s="178" t="s">
        <v>320</v>
      </c>
      <c r="C223" s="281">
        <f t="shared" si="54"/>
        <v>0</v>
      </c>
      <c r="D223" s="281">
        <f t="shared" si="55"/>
        <v>0</v>
      </c>
      <c r="E223" s="160">
        <f t="shared" si="56"/>
        <v>0</v>
      </c>
      <c r="F223" s="160">
        <v>0</v>
      </c>
      <c r="G223" s="281"/>
      <c r="H223" s="281">
        <v>0</v>
      </c>
      <c r="I223" s="160">
        <f t="shared" si="58"/>
        <v>0</v>
      </c>
      <c r="J223" s="160">
        <v>0</v>
      </c>
    </row>
    <row r="224" spans="1:10" x14ac:dyDescent="0.25">
      <c r="A224" s="209" t="s">
        <v>526</v>
      </c>
      <c r="B224" s="178" t="s">
        <v>527</v>
      </c>
      <c r="C224" s="281">
        <f t="shared" si="54"/>
        <v>520.4</v>
      </c>
      <c r="D224" s="281">
        <f t="shared" si="55"/>
        <v>520.4</v>
      </c>
      <c r="E224" s="160">
        <f t="shared" si="56"/>
        <v>0</v>
      </c>
      <c r="F224" s="160">
        <f t="shared" si="57"/>
        <v>100</v>
      </c>
      <c r="G224" s="281">
        <v>520.4</v>
      </c>
      <c r="H224" s="281">
        <v>520.4</v>
      </c>
      <c r="I224" s="160">
        <f t="shared" si="58"/>
        <v>0</v>
      </c>
      <c r="J224" s="160">
        <f t="shared" si="59"/>
        <v>100</v>
      </c>
    </row>
    <row r="225" spans="1:11" x14ac:dyDescent="0.25">
      <c r="A225" s="206" t="s">
        <v>313</v>
      </c>
      <c r="B225" s="178">
        <v>7072</v>
      </c>
      <c r="C225" s="281">
        <f t="shared" si="54"/>
        <v>0</v>
      </c>
      <c r="D225" s="281">
        <f t="shared" si="55"/>
        <v>0</v>
      </c>
      <c r="E225" s="160">
        <f t="shared" si="56"/>
        <v>0</v>
      </c>
      <c r="F225" s="160">
        <v>0</v>
      </c>
      <c r="G225" s="281">
        <v>0</v>
      </c>
      <c r="H225" s="281">
        <v>0</v>
      </c>
      <c r="I225" s="160">
        <f t="shared" si="58"/>
        <v>0</v>
      </c>
      <c r="J225" s="160">
        <v>0</v>
      </c>
    </row>
    <row r="226" spans="1:11" x14ac:dyDescent="0.25">
      <c r="A226" s="158" t="s">
        <v>127</v>
      </c>
      <c r="B226" s="186"/>
      <c r="C226" s="281">
        <f t="shared" si="54"/>
        <v>0</v>
      </c>
      <c r="D226" s="281">
        <f t="shared" si="55"/>
        <v>0</v>
      </c>
      <c r="E226" s="160">
        <f t="shared" si="56"/>
        <v>0</v>
      </c>
      <c r="F226" s="160">
        <v>0</v>
      </c>
      <c r="G226" s="281">
        <v>0</v>
      </c>
      <c r="H226" s="281">
        <v>0</v>
      </c>
      <c r="I226" s="160">
        <f t="shared" si="58"/>
        <v>0</v>
      </c>
      <c r="J226" s="160">
        <v>0</v>
      </c>
    </row>
    <row r="227" spans="1:11" x14ac:dyDescent="0.25">
      <c r="A227" s="197" t="s">
        <v>128</v>
      </c>
      <c r="B227" s="186">
        <v>7070</v>
      </c>
      <c r="C227" s="281">
        <f t="shared" si="54"/>
        <v>47959.5</v>
      </c>
      <c r="D227" s="281">
        <f t="shared" si="55"/>
        <v>47959.5</v>
      </c>
      <c r="E227" s="160">
        <f t="shared" si="56"/>
        <v>0</v>
      </c>
      <c r="F227" s="160">
        <f t="shared" si="57"/>
        <v>100</v>
      </c>
      <c r="G227" s="281">
        <v>47959.5</v>
      </c>
      <c r="H227" s="281">
        <v>47959.5</v>
      </c>
      <c r="I227" s="160">
        <f t="shared" si="58"/>
        <v>0</v>
      </c>
      <c r="J227" s="160">
        <f t="shared" si="59"/>
        <v>100</v>
      </c>
    </row>
    <row r="228" spans="1:11" x14ac:dyDescent="0.25">
      <c r="A228" s="197" t="s">
        <v>129</v>
      </c>
      <c r="B228" s="186">
        <v>7080</v>
      </c>
      <c r="C228" s="281">
        <f t="shared" si="54"/>
        <v>16160</v>
      </c>
      <c r="D228" s="281">
        <f t="shared" si="55"/>
        <v>16160</v>
      </c>
      <c r="E228" s="160">
        <f t="shared" si="56"/>
        <v>0</v>
      </c>
      <c r="F228" s="160">
        <f t="shared" si="57"/>
        <v>100</v>
      </c>
      <c r="G228" s="281">
        <v>16160</v>
      </c>
      <c r="H228" s="281">
        <v>16160</v>
      </c>
      <c r="I228" s="160">
        <f t="shared" si="58"/>
        <v>0</v>
      </c>
      <c r="J228" s="160">
        <f t="shared" si="59"/>
        <v>100</v>
      </c>
    </row>
    <row r="229" spans="1:11" x14ac:dyDescent="0.25">
      <c r="A229" s="187" t="s">
        <v>130</v>
      </c>
      <c r="B229" s="186">
        <v>7090</v>
      </c>
      <c r="C229" s="281">
        <f t="shared" si="54"/>
        <v>33026</v>
      </c>
      <c r="D229" s="281">
        <f t="shared" si="55"/>
        <v>33026</v>
      </c>
      <c r="E229" s="160">
        <f t="shared" si="56"/>
        <v>0</v>
      </c>
      <c r="F229" s="160">
        <f t="shared" si="57"/>
        <v>100</v>
      </c>
      <c r="G229" s="281">
        <v>33026</v>
      </c>
      <c r="H229" s="281">
        <v>33026</v>
      </c>
      <c r="I229" s="160">
        <f t="shared" si="58"/>
        <v>0</v>
      </c>
      <c r="J229" s="160">
        <f t="shared" si="59"/>
        <v>100</v>
      </c>
    </row>
    <row r="230" spans="1:11" x14ac:dyDescent="0.25">
      <c r="A230" s="404" t="s">
        <v>414</v>
      </c>
      <c r="B230" s="404"/>
      <c r="C230" s="404"/>
      <c r="D230" s="404"/>
      <c r="E230" s="404"/>
      <c r="F230" s="404"/>
      <c r="G230" s="404"/>
      <c r="H230" s="404"/>
      <c r="I230" s="404"/>
      <c r="J230" s="404"/>
      <c r="K230" s="85"/>
    </row>
    <row r="231" spans="1:11" ht="36" x14ac:dyDescent="0.25">
      <c r="A231" s="210" t="s">
        <v>427</v>
      </c>
      <c r="B231" s="183">
        <v>7100</v>
      </c>
      <c r="C231" s="283">
        <f>(C29/C149)*100</f>
        <v>15.602840861766754</v>
      </c>
      <c r="D231" s="283">
        <f>(D29/D149)*100</f>
        <v>20.454272205087438</v>
      </c>
      <c r="E231" s="211" t="s">
        <v>339</v>
      </c>
      <c r="F231" s="211" t="s">
        <v>339</v>
      </c>
      <c r="G231" s="283">
        <f>(G29/G149)*100</f>
        <v>15.602840861766754</v>
      </c>
      <c r="H231" s="283">
        <f>(H29/H149)*100</f>
        <v>20.454272205087438</v>
      </c>
      <c r="I231" s="211" t="s">
        <v>339</v>
      </c>
      <c r="J231" s="211" t="s">
        <v>339</v>
      </c>
      <c r="K231" s="87"/>
    </row>
    <row r="232" spans="1:11" ht="36" x14ac:dyDescent="0.25">
      <c r="A232" s="197" t="s">
        <v>428</v>
      </c>
      <c r="B232" s="183">
        <v>7110</v>
      </c>
      <c r="C232" s="283">
        <f t="shared" ref="C232:D232" si="77">(C30/C150)*100</f>
        <v>16.486449337917627</v>
      </c>
      <c r="D232" s="283">
        <f t="shared" si="77"/>
        <v>21.135337964606261</v>
      </c>
      <c r="E232" s="211" t="s">
        <v>339</v>
      </c>
      <c r="F232" s="211" t="s">
        <v>339</v>
      </c>
      <c r="G232" s="283">
        <f>(G52/G150)*100</f>
        <v>23.265389669913048</v>
      </c>
      <c r="H232" s="283">
        <f t="shared" ref="H232" si="78">(H30/H150)*100</f>
        <v>21.135337964606261</v>
      </c>
      <c r="I232" s="211" t="s">
        <v>339</v>
      </c>
      <c r="J232" s="211" t="s">
        <v>339</v>
      </c>
      <c r="K232" s="87"/>
    </row>
    <row r="233" spans="1:11" ht="36" x14ac:dyDescent="0.25">
      <c r="A233" s="197" t="s">
        <v>429</v>
      </c>
      <c r="B233" s="183">
        <v>7120</v>
      </c>
      <c r="C233" s="283">
        <v>0</v>
      </c>
      <c r="D233" s="283">
        <v>0</v>
      </c>
      <c r="E233" s="211" t="s">
        <v>339</v>
      </c>
      <c r="F233" s="211" t="s">
        <v>339</v>
      </c>
      <c r="G233" s="160">
        <f>(G124/G150)*100</f>
        <v>0</v>
      </c>
      <c r="H233" s="160">
        <v>0</v>
      </c>
      <c r="I233" s="211" t="s">
        <v>339</v>
      </c>
      <c r="J233" s="211" t="s">
        <v>339</v>
      </c>
      <c r="K233" s="87"/>
    </row>
    <row r="234" spans="1:11" ht="36" x14ac:dyDescent="0.25">
      <c r="A234" s="197" t="s">
        <v>430</v>
      </c>
      <c r="B234" s="183">
        <v>7130</v>
      </c>
      <c r="C234" s="283">
        <f>((C108+C110)/C150)*100</f>
        <v>53.055744260485973</v>
      </c>
      <c r="D234" s="283">
        <v>52.9</v>
      </c>
      <c r="E234" s="211" t="s">
        <v>339</v>
      </c>
      <c r="F234" s="211" t="s">
        <v>339</v>
      </c>
      <c r="G234" s="277">
        <f>((G108+G110)/G150)*100</f>
        <v>53.055744260485973</v>
      </c>
      <c r="H234" s="160">
        <v>52.9</v>
      </c>
      <c r="I234" s="211" t="s">
        <v>339</v>
      </c>
      <c r="J234" s="211" t="s">
        <v>339</v>
      </c>
      <c r="K234" s="87"/>
    </row>
    <row r="237" spans="1:11" x14ac:dyDescent="0.25">
      <c r="A237" s="64" t="s">
        <v>530</v>
      </c>
      <c r="B237" s="124"/>
      <c r="C237" s="124"/>
      <c r="D237" s="64"/>
      <c r="E237" s="361"/>
      <c r="F237" s="361"/>
      <c r="G237" s="64"/>
      <c r="H237" s="374" t="s">
        <v>531</v>
      </c>
      <c r="I237" s="374"/>
      <c r="J237" s="374"/>
    </row>
    <row r="238" spans="1:11" x14ac:dyDescent="0.25">
      <c r="A238" s="113" t="s">
        <v>154</v>
      </c>
      <c r="B238" s="1"/>
      <c r="C238" s="1"/>
      <c r="D238" s="64"/>
      <c r="E238" s="112" t="s">
        <v>155</v>
      </c>
      <c r="F238" s="112"/>
      <c r="G238" s="64"/>
      <c r="H238" s="313" t="s">
        <v>132</v>
      </c>
      <c r="I238" s="313"/>
      <c r="J238" s="313"/>
    </row>
    <row r="239" spans="1:11" x14ac:dyDescent="0.25">
      <c r="A239" s="64"/>
      <c r="B239" s="64"/>
      <c r="C239" s="64"/>
      <c r="D239" s="64"/>
      <c r="E239" s="64"/>
      <c r="F239" s="64"/>
      <c r="G239" s="64"/>
      <c r="H239" s="64"/>
      <c r="I239" s="64"/>
    </row>
    <row r="240" spans="1:11" x14ac:dyDescent="0.25">
      <c r="A240" s="104" t="s">
        <v>133</v>
      </c>
      <c r="B240" s="64"/>
      <c r="C240" s="64"/>
      <c r="D240" s="64"/>
      <c r="E240" s="64"/>
      <c r="F240" s="64"/>
      <c r="G240" s="64"/>
      <c r="H240" s="64"/>
      <c r="I240" s="64"/>
    </row>
    <row r="241" spans="1:10" x14ac:dyDescent="0.25">
      <c r="A241" s="85" t="s">
        <v>532</v>
      </c>
    </row>
    <row r="242" spans="1:10" x14ac:dyDescent="0.25">
      <c r="A242" t="s">
        <v>533</v>
      </c>
    </row>
    <row r="244" spans="1:10" x14ac:dyDescent="0.25">
      <c r="A244" s="63" t="s">
        <v>435</v>
      </c>
      <c r="H244" s="341" t="s">
        <v>436</v>
      </c>
      <c r="I244" s="341"/>
      <c r="J244" s="341"/>
    </row>
  </sheetData>
  <mergeCells count="22">
    <mergeCell ref="H244:J244"/>
    <mergeCell ref="A137:J137"/>
    <mergeCell ref="A6:J6"/>
    <mergeCell ref="A7:J7"/>
    <mergeCell ref="A8:J8"/>
    <mergeCell ref="A9:J9"/>
    <mergeCell ref="A11:A12"/>
    <mergeCell ref="B11:B12"/>
    <mergeCell ref="C11:F11"/>
    <mergeCell ref="G11:J11"/>
    <mergeCell ref="A14:J14"/>
    <mergeCell ref="A15:J15"/>
    <mergeCell ref="A43:J43"/>
    <mergeCell ref="A107:J107"/>
    <mergeCell ref="A120:J120"/>
    <mergeCell ref="H238:J238"/>
    <mergeCell ref="H237:J237"/>
    <mergeCell ref="A148:J148"/>
    <mergeCell ref="A164:J164"/>
    <mergeCell ref="A173:J173"/>
    <mergeCell ref="A230:J230"/>
    <mergeCell ref="E237:F237"/>
  </mergeCells>
  <phoneticPr fontId="49" type="noConversion"/>
  <pageMargins left="0" right="0" top="0" bottom="0" header="0.31496062992125984" footer="0.31496062992125984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opLeftCell="A4" zoomScaleNormal="100" workbookViewId="0">
      <selection activeCell="U28" sqref="U27:U28"/>
    </sheetView>
  </sheetViews>
  <sheetFormatPr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9.140625" bestFit="1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9.140625" bestFit="1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U1" s="68" t="s">
        <v>415</v>
      </c>
      <c r="V1" s="68"/>
      <c r="W1" s="68"/>
      <c r="X1" s="68"/>
      <c r="Y1" s="68"/>
      <c r="Z1" s="68">
        <v>2024</v>
      </c>
      <c r="AA1" s="68"/>
      <c r="AB1" s="68"/>
    </row>
    <row r="2" spans="1:29" x14ac:dyDescent="0.25">
      <c r="A2" s="345" t="s">
        <v>134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85"/>
    </row>
    <row r="3" spans="1:29" x14ac:dyDescent="0.25">
      <c r="A3" s="346" t="s">
        <v>438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85"/>
    </row>
    <row r="4" spans="1:29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347" t="s">
        <v>135</v>
      </c>
      <c r="Z4" s="347"/>
      <c r="AA4" s="347"/>
      <c r="AB4" s="347"/>
      <c r="AC4" s="85"/>
    </row>
    <row r="5" spans="1:29" x14ac:dyDescent="0.25">
      <c r="A5" s="348" t="s">
        <v>136</v>
      </c>
      <c r="B5" s="349" t="s">
        <v>137</v>
      </c>
      <c r="C5" s="350" t="s">
        <v>426</v>
      </c>
      <c r="D5" s="349" t="s">
        <v>138</v>
      </c>
      <c r="E5" s="349"/>
      <c r="F5" s="349"/>
      <c r="G5" s="349"/>
      <c r="H5" s="349"/>
      <c r="I5" s="349" t="s">
        <v>139</v>
      </c>
      <c r="J5" s="349"/>
      <c r="K5" s="349"/>
      <c r="L5" s="349"/>
      <c r="M5" s="349"/>
      <c r="N5" s="349" t="s">
        <v>140</v>
      </c>
      <c r="O5" s="349"/>
      <c r="P5" s="349"/>
      <c r="Q5" s="349"/>
      <c r="R5" s="349"/>
      <c r="S5" s="349" t="s">
        <v>141</v>
      </c>
      <c r="T5" s="349"/>
      <c r="U5" s="349"/>
      <c r="V5" s="349"/>
      <c r="W5" s="349"/>
      <c r="X5" s="349" t="s">
        <v>142</v>
      </c>
      <c r="Y5" s="349"/>
      <c r="Z5" s="349"/>
      <c r="AA5" s="349"/>
      <c r="AB5" s="349"/>
      <c r="AC5" s="85"/>
    </row>
    <row r="6" spans="1:29" x14ac:dyDescent="0.25">
      <c r="A6" s="348"/>
      <c r="B6" s="349"/>
      <c r="C6" s="351"/>
      <c r="D6" s="349" t="s">
        <v>143</v>
      </c>
      <c r="E6" s="349" t="s">
        <v>144</v>
      </c>
      <c r="F6" s="349"/>
      <c r="G6" s="349"/>
      <c r="H6" s="349"/>
      <c r="I6" s="349" t="s">
        <v>143</v>
      </c>
      <c r="J6" s="349" t="s">
        <v>144</v>
      </c>
      <c r="K6" s="349"/>
      <c r="L6" s="349"/>
      <c r="M6" s="349"/>
      <c r="N6" s="349" t="s">
        <v>143</v>
      </c>
      <c r="O6" s="349" t="s">
        <v>144</v>
      </c>
      <c r="P6" s="349"/>
      <c r="Q6" s="349"/>
      <c r="R6" s="349"/>
      <c r="S6" s="349" t="s">
        <v>143</v>
      </c>
      <c r="T6" s="349" t="s">
        <v>144</v>
      </c>
      <c r="U6" s="349"/>
      <c r="V6" s="349"/>
      <c r="W6" s="349"/>
      <c r="X6" s="349" t="s">
        <v>143</v>
      </c>
      <c r="Y6" s="349" t="s">
        <v>144</v>
      </c>
      <c r="Z6" s="349"/>
      <c r="AA6" s="349"/>
      <c r="AB6" s="349"/>
      <c r="AC6" s="85"/>
    </row>
    <row r="7" spans="1:29" x14ac:dyDescent="0.25">
      <c r="A7" s="348"/>
      <c r="B7" s="349"/>
      <c r="C7" s="352"/>
      <c r="D7" s="349"/>
      <c r="E7" s="151" t="s">
        <v>145</v>
      </c>
      <c r="F7" s="151" t="s">
        <v>146</v>
      </c>
      <c r="G7" s="151" t="s">
        <v>147</v>
      </c>
      <c r="H7" s="151" t="s">
        <v>148</v>
      </c>
      <c r="I7" s="349"/>
      <c r="J7" s="151" t="s">
        <v>145</v>
      </c>
      <c r="K7" s="151" t="s">
        <v>146</v>
      </c>
      <c r="L7" s="151" t="s">
        <v>147</v>
      </c>
      <c r="M7" s="151" t="s">
        <v>148</v>
      </c>
      <c r="N7" s="349"/>
      <c r="O7" s="151" t="s">
        <v>145</v>
      </c>
      <c r="P7" s="151" t="s">
        <v>146</v>
      </c>
      <c r="Q7" s="151" t="s">
        <v>147</v>
      </c>
      <c r="R7" s="151" t="s">
        <v>148</v>
      </c>
      <c r="S7" s="349"/>
      <c r="T7" s="151" t="s">
        <v>145</v>
      </c>
      <c r="U7" s="151" t="s">
        <v>146</v>
      </c>
      <c r="V7" s="151" t="s">
        <v>147</v>
      </c>
      <c r="W7" s="151" t="s">
        <v>148</v>
      </c>
      <c r="X7" s="349"/>
      <c r="Y7" s="151" t="s">
        <v>145</v>
      </c>
      <c r="Z7" s="151" t="s">
        <v>146</v>
      </c>
      <c r="AA7" s="151" t="s">
        <v>147</v>
      </c>
      <c r="AB7" s="151" t="s">
        <v>148</v>
      </c>
      <c r="AC7" s="85"/>
    </row>
    <row r="8" spans="1:29" x14ac:dyDescent="0.25">
      <c r="A8" s="66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  <c r="I8" s="151">
        <v>9</v>
      </c>
      <c r="J8" s="151">
        <v>10</v>
      </c>
      <c r="K8" s="151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51">
        <v>21</v>
      </c>
      <c r="V8" s="151">
        <v>22</v>
      </c>
      <c r="W8" s="151">
        <v>23</v>
      </c>
      <c r="X8" s="151">
        <v>24</v>
      </c>
      <c r="Y8" s="151">
        <v>25</v>
      </c>
      <c r="Z8" s="151">
        <v>26</v>
      </c>
      <c r="AA8" s="151">
        <v>27</v>
      </c>
      <c r="AB8" s="151">
        <v>28</v>
      </c>
      <c r="AC8" s="85"/>
    </row>
    <row r="9" spans="1:29" ht="26.25" customHeight="1" x14ac:dyDescent="0.25">
      <c r="A9" s="66">
        <v>1</v>
      </c>
      <c r="B9" s="152" t="s">
        <v>93</v>
      </c>
      <c r="C9" s="151">
        <v>3110</v>
      </c>
      <c r="D9" s="151">
        <v>0</v>
      </c>
      <c r="E9" s="151">
        <v>0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  <c r="Z9" s="151">
        <v>0</v>
      </c>
      <c r="AA9" s="151">
        <v>0</v>
      </c>
      <c r="AB9" s="151">
        <v>0</v>
      </c>
      <c r="AC9" s="85"/>
    </row>
    <row r="10" spans="1:29" ht="48.75" customHeight="1" x14ac:dyDescent="0.25">
      <c r="A10" s="66">
        <v>2</v>
      </c>
      <c r="B10" s="152" t="s">
        <v>149</v>
      </c>
      <c r="C10" s="151">
        <v>3120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85"/>
    </row>
    <row r="11" spans="1:29" ht="66" customHeight="1" x14ac:dyDescent="0.25">
      <c r="A11" s="66">
        <v>3</v>
      </c>
      <c r="B11" s="152" t="s">
        <v>95</v>
      </c>
      <c r="C11" s="151">
        <v>3130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85"/>
    </row>
    <row r="12" spans="1:29" ht="98.25" customHeight="1" x14ac:dyDescent="0.25">
      <c r="A12" s="66">
        <v>4</v>
      </c>
      <c r="B12" s="152" t="s">
        <v>150</v>
      </c>
      <c r="C12" s="151">
        <v>3140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85"/>
    </row>
    <row r="13" spans="1:29" ht="71.25" customHeight="1" x14ac:dyDescent="0.25">
      <c r="A13" s="66">
        <v>5</v>
      </c>
      <c r="B13" s="152" t="s">
        <v>151</v>
      </c>
      <c r="C13" s="151">
        <v>3150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929.9</v>
      </c>
      <c r="J13" s="151">
        <v>0</v>
      </c>
      <c r="K13" s="151">
        <v>0</v>
      </c>
      <c r="L13" s="151">
        <v>0</v>
      </c>
      <c r="M13" s="151">
        <v>0</v>
      </c>
      <c r="N13" s="151"/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f t="shared" ref="X13:X15" si="0">SUM(D13:W13)</f>
        <v>929.9</v>
      </c>
      <c r="Y13" s="151">
        <v>0</v>
      </c>
      <c r="Z13" s="151">
        <v>0</v>
      </c>
      <c r="AA13" s="151">
        <v>0</v>
      </c>
      <c r="AB13" s="151">
        <v>0</v>
      </c>
      <c r="AC13" s="85"/>
    </row>
    <row r="14" spans="1:29" ht="21" customHeight="1" x14ac:dyDescent="0.25">
      <c r="A14" s="66">
        <v>6</v>
      </c>
      <c r="B14" s="152" t="s">
        <v>553</v>
      </c>
      <c r="C14" s="151">
        <v>3160</v>
      </c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  <c r="V14" s="151">
        <v>0</v>
      </c>
      <c r="W14" s="151">
        <v>0</v>
      </c>
      <c r="X14" s="151">
        <f t="shared" si="0"/>
        <v>0</v>
      </c>
      <c r="Y14" s="151">
        <v>0</v>
      </c>
      <c r="Z14" s="151">
        <v>0</v>
      </c>
      <c r="AA14" s="151">
        <v>0</v>
      </c>
      <c r="AB14" s="151">
        <v>0</v>
      </c>
      <c r="AC14" s="85"/>
    </row>
    <row r="15" spans="1:29" x14ac:dyDescent="0.25">
      <c r="A15" s="66"/>
      <c r="B15" s="153" t="s">
        <v>142</v>
      </c>
      <c r="C15" s="153"/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f t="shared" si="0"/>
        <v>0</v>
      </c>
      <c r="Y15" s="151">
        <v>0</v>
      </c>
      <c r="Z15" s="151">
        <v>0</v>
      </c>
      <c r="AA15" s="151">
        <v>0</v>
      </c>
      <c r="AB15" s="151">
        <v>0</v>
      </c>
      <c r="AC15" s="85"/>
    </row>
    <row r="16" spans="1:29" x14ac:dyDescent="0.25">
      <c r="A16" s="66"/>
      <c r="B16" s="153" t="s">
        <v>152</v>
      </c>
      <c r="C16" s="153"/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85"/>
    </row>
    <row r="17" spans="1:29" x14ac:dyDescent="0.25">
      <c r="A17" s="87"/>
      <c r="B17" s="300"/>
      <c r="C17" s="300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2"/>
      <c r="W17" s="302"/>
      <c r="X17" s="302"/>
      <c r="Y17" s="301"/>
      <c r="Z17" s="301"/>
      <c r="AA17" s="301"/>
      <c r="AB17" s="301"/>
      <c r="AC17" s="85"/>
    </row>
    <row r="18" spans="1:29" ht="25.5" customHeight="1" x14ac:dyDescent="0.25">
      <c r="A18" s="87"/>
      <c r="B18" s="355" t="s">
        <v>487</v>
      </c>
      <c r="C18" s="355"/>
      <c r="D18" s="355"/>
      <c r="E18" s="355"/>
      <c r="F18" s="87"/>
      <c r="G18" s="87"/>
      <c r="H18" s="87"/>
      <c r="I18" s="87"/>
      <c r="J18" s="356" t="s">
        <v>153</v>
      </c>
      <c r="K18" s="356"/>
      <c r="L18" s="356"/>
      <c r="M18" s="356"/>
      <c r="N18" s="356"/>
      <c r="O18" s="356"/>
      <c r="P18" s="356"/>
      <c r="Q18" s="356"/>
      <c r="R18" s="356"/>
      <c r="S18" s="356"/>
      <c r="T18" s="87"/>
      <c r="U18" s="87"/>
      <c r="V18" s="343" t="s">
        <v>488</v>
      </c>
      <c r="W18" s="343"/>
      <c r="X18" s="343"/>
      <c r="Y18" s="87"/>
      <c r="Z18" s="87"/>
      <c r="AA18" s="87"/>
      <c r="AB18" s="87"/>
      <c r="AC18" s="85"/>
    </row>
    <row r="19" spans="1:29" x14ac:dyDescent="0.25">
      <c r="A19" s="87"/>
      <c r="B19" s="313" t="s">
        <v>154</v>
      </c>
      <c r="C19" s="313"/>
      <c r="D19" s="313"/>
      <c r="E19" s="313"/>
      <c r="F19" s="87"/>
      <c r="G19" s="87"/>
      <c r="H19" s="87"/>
      <c r="I19" s="87"/>
      <c r="J19" s="313" t="s">
        <v>155</v>
      </c>
      <c r="K19" s="313"/>
      <c r="L19" s="313"/>
      <c r="M19" s="313"/>
      <c r="N19" s="313"/>
      <c r="O19" s="313"/>
      <c r="P19" s="313"/>
      <c r="Q19" s="313"/>
      <c r="R19" s="313"/>
      <c r="S19" s="313"/>
      <c r="T19" s="313" t="s">
        <v>132</v>
      </c>
      <c r="U19" s="313"/>
      <c r="V19" s="313"/>
      <c r="W19" s="313"/>
      <c r="X19" s="313"/>
      <c r="Y19" s="313"/>
      <c r="Z19" s="313"/>
      <c r="AA19" s="313"/>
      <c r="AB19" s="87"/>
      <c r="AC19" s="85"/>
    </row>
    <row r="20" spans="1:29" x14ac:dyDescent="0.25">
      <c r="A20" s="88"/>
      <c r="B20" s="65" t="s">
        <v>133</v>
      </c>
      <c r="C20" s="6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5"/>
    </row>
    <row r="21" spans="1:29" ht="26.25" x14ac:dyDescent="0.25">
      <c r="A21" s="88"/>
      <c r="B21" s="65" t="s">
        <v>568</v>
      </c>
      <c r="C21" s="65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5"/>
    </row>
    <row r="22" spans="1:29" ht="42" customHeight="1" x14ac:dyDescent="0.25">
      <c r="B22" s="353" t="s">
        <v>435</v>
      </c>
      <c r="C22" s="353"/>
      <c r="D22" s="353"/>
      <c r="V22" s="354" t="s">
        <v>569</v>
      </c>
      <c r="W22" s="354"/>
      <c r="X22" s="354"/>
      <c r="Y22" s="354"/>
    </row>
  </sheetData>
  <mergeCells count="29">
    <mergeCell ref="B22:D22"/>
    <mergeCell ref="V22:Y22"/>
    <mergeCell ref="B18:E18"/>
    <mergeCell ref="B19:E19"/>
    <mergeCell ref="V18:X18"/>
    <mergeCell ref="T19:AA19"/>
    <mergeCell ref="J18:S18"/>
    <mergeCell ref="J19:S19"/>
    <mergeCell ref="O6:R6"/>
    <mergeCell ref="S6:S7"/>
    <mergeCell ref="T6:W6"/>
    <mergeCell ref="X6:X7"/>
    <mergeCell ref="Y6:AB6"/>
    <mergeCell ref="A2:AB2"/>
    <mergeCell ref="A3:AB3"/>
    <mergeCell ref="Y4:AB4"/>
    <mergeCell ref="A5:A7"/>
    <mergeCell ref="B5:B7"/>
    <mergeCell ref="D5:H5"/>
    <mergeCell ref="I5:M5"/>
    <mergeCell ref="N5:R5"/>
    <mergeCell ref="D6:D7"/>
    <mergeCell ref="E6:H6"/>
    <mergeCell ref="I6:I7"/>
    <mergeCell ref="J6:M6"/>
    <mergeCell ref="N6:N7"/>
    <mergeCell ref="C5:C7"/>
    <mergeCell ref="S5:W5"/>
    <mergeCell ref="X5:AB5"/>
  </mergeCells>
  <pageMargins left="0" right="0" top="0" bottom="0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26" sqref="J26:L26"/>
    </sheetView>
  </sheetViews>
  <sheetFormatPr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357" t="s">
        <v>558</v>
      </c>
      <c r="K1" s="357"/>
      <c r="L1" s="357"/>
      <c r="M1" s="357"/>
    </row>
    <row r="2" spans="1:13" x14ac:dyDescent="0.25">
      <c r="J2" s="357" t="s">
        <v>156</v>
      </c>
      <c r="K2" s="357"/>
      <c r="L2" s="357"/>
      <c r="M2" s="357"/>
    </row>
    <row r="3" spans="1:13" x14ac:dyDescent="0.25">
      <c r="A3" s="358" t="s">
        <v>157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</row>
    <row r="4" spans="1:13" x14ac:dyDescent="0.25">
      <c r="A4" s="359" t="s">
        <v>158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</row>
    <row r="5" spans="1:13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360" t="s">
        <v>159</v>
      </c>
      <c r="M5" s="360"/>
    </row>
    <row r="6" spans="1:13" x14ac:dyDescent="0.25">
      <c r="A6" s="348" t="s">
        <v>136</v>
      </c>
      <c r="B6" s="348" t="s">
        <v>160</v>
      </c>
      <c r="C6" s="348" t="s">
        <v>161</v>
      </c>
      <c r="D6" s="348" t="s">
        <v>162</v>
      </c>
      <c r="E6" s="348" t="s">
        <v>163</v>
      </c>
      <c r="F6" s="348" t="s">
        <v>164</v>
      </c>
      <c r="G6" s="348" t="s">
        <v>165</v>
      </c>
      <c r="H6" s="348"/>
      <c r="I6" s="348"/>
      <c r="J6" s="348"/>
      <c r="K6" s="348"/>
      <c r="L6" s="348" t="s">
        <v>166</v>
      </c>
      <c r="M6" s="348" t="s">
        <v>167</v>
      </c>
    </row>
    <row r="7" spans="1:13" x14ac:dyDescent="0.25">
      <c r="A7" s="348"/>
      <c r="B7" s="348"/>
      <c r="C7" s="348"/>
      <c r="D7" s="348"/>
      <c r="E7" s="348"/>
      <c r="F7" s="348"/>
      <c r="G7" s="348" t="s">
        <v>168</v>
      </c>
      <c r="H7" s="348" t="s">
        <v>169</v>
      </c>
      <c r="I7" s="348" t="s">
        <v>170</v>
      </c>
      <c r="J7" s="348"/>
      <c r="K7" s="348"/>
      <c r="L7" s="348"/>
      <c r="M7" s="348"/>
    </row>
    <row r="8" spans="1:13" ht="125.25" customHeight="1" x14ac:dyDescent="0.25">
      <c r="A8" s="348"/>
      <c r="B8" s="348"/>
      <c r="C8" s="348"/>
      <c r="D8" s="348"/>
      <c r="E8" s="348"/>
      <c r="F8" s="348"/>
      <c r="G8" s="348"/>
      <c r="H8" s="348"/>
      <c r="I8" s="66" t="s">
        <v>171</v>
      </c>
      <c r="J8" s="66" t="s">
        <v>172</v>
      </c>
      <c r="K8" s="66" t="s">
        <v>173</v>
      </c>
      <c r="L8" s="348"/>
      <c r="M8" s="348"/>
    </row>
    <row r="9" spans="1:13" x14ac:dyDescent="0.25">
      <c r="A9" s="67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>
        <v>11</v>
      </c>
      <c r="L9" s="67">
        <v>12</v>
      </c>
      <c r="M9" s="67">
        <v>13</v>
      </c>
    </row>
    <row r="10" spans="1:13" x14ac:dyDescent="0.25">
      <c r="A10" s="67"/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</row>
    <row r="11" spans="1:13" x14ac:dyDescent="0.25">
      <c r="A11" s="67"/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</row>
    <row r="12" spans="1:13" x14ac:dyDescent="0.25">
      <c r="A12" s="67"/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</row>
    <row r="13" spans="1:13" x14ac:dyDescent="0.25">
      <c r="A13" s="67"/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</row>
    <row r="14" spans="1:13" x14ac:dyDescent="0.25">
      <c r="A14" s="67"/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</row>
    <row r="15" spans="1:13" x14ac:dyDescent="0.25">
      <c r="A15" s="67"/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</row>
    <row r="16" spans="1:13" x14ac:dyDescent="0.25">
      <c r="A16" s="67"/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</row>
    <row r="17" spans="1:13" x14ac:dyDescent="0.25">
      <c r="A17" s="67"/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</row>
    <row r="18" spans="1:13" x14ac:dyDescent="0.25">
      <c r="A18" s="67"/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</row>
    <row r="19" spans="1:13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64"/>
      <c r="B20" s="90" t="s">
        <v>487</v>
      </c>
      <c r="C20" s="64"/>
      <c r="D20" s="64"/>
      <c r="E20" s="64"/>
      <c r="F20" s="361"/>
      <c r="G20" s="361"/>
      <c r="H20" s="89"/>
      <c r="I20" s="64"/>
      <c r="J20" s="343" t="s">
        <v>488</v>
      </c>
      <c r="K20" s="343"/>
      <c r="L20" s="343"/>
      <c r="M20" s="64"/>
    </row>
    <row r="21" spans="1:13" x14ac:dyDescent="0.25">
      <c r="A21" s="64"/>
      <c r="B21" s="60" t="s">
        <v>154</v>
      </c>
      <c r="C21" s="64"/>
      <c r="D21" s="64"/>
      <c r="E21" s="64"/>
      <c r="F21" s="344" t="s">
        <v>155</v>
      </c>
      <c r="G21" s="344"/>
      <c r="H21" s="344"/>
      <c r="I21" s="64"/>
      <c r="J21" s="313" t="s">
        <v>132</v>
      </c>
      <c r="K21" s="313"/>
      <c r="L21" s="313"/>
      <c r="M21" s="64"/>
    </row>
    <row r="22" spans="1:13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x14ac:dyDescent="0.25">
      <c r="A23" s="64"/>
      <c r="B23" s="65" t="s">
        <v>133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x14ac:dyDescent="0.25">
      <c r="B24" s="299" t="s">
        <v>568</v>
      </c>
      <c r="C24" s="299"/>
    </row>
    <row r="26" spans="1:13" x14ac:dyDescent="0.25">
      <c r="B26" s="63" t="s">
        <v>435</v>
      </c>
      <c r="J26" s="341" t="s">
        <v>569</v>
      </c>
      <c r="K26" s="341"/>
      <c r="L26" s="341"/>
    </row>
  </sheetData>
  <mergeCells count="22">
    <mergeCell ref="J26:L26"/>
    <mergeCell ref="M6:M8"/>
    <mergeCell ref="G7:G8"/>
    <mergeCell ref="H7:H8"/>
    <mergeCell ref="I7:K7"/>
    <mergeCell ref="J20:L20"/>
    <mergeCell ref="F21:H21"/>
    <mergeCell ref="J21:L21"/>
    <mergeCell ref="F6:F8"/>
    <mergeCell ref="G6:K6"/>
    <mergeCell ref="L6:L8"/>
    <mergeCell ref="F20:G20"/>
    <mergeCell ref="J1:M1"/>
    <mergeCell ref="J2:M2"/>
    <mergeCell ref="A3:M3"/>
    <mergeCell ref="A4:M4"/>
    <mergeCell ref="L5:M5"/>
    <mergeCell ref="A6:A8"/>
    <mergeCell ref="B6:B8"/>
    <mergeCell ref="C6:C8"/>
    <mergeCell ref="D6:D8"/>
    <mergeCell ref="E6:E8"/>
  </mergeCells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26" sqref="I26:K26"/>
    </sheetView>
  </sheetViews>
  <sheetFormatPr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68"/>
      <c r="B1" s="68"/>
      <c r="C1" s="68"/>
      <c r="D1" s="68"/>
      <c r="E1" s="68"/>
      <c r="F1" s="68"/>
      <c r="G1" s="68"/>
      <c r="H1" s="68"/>
      <c r="I1" s="362" t="s">
        <v>559</v>
      </c>
      <c r="J1" s="362"/>
      <c r="K1" s="362"/>
      <c r="L1" s="362"/>
      <c r="M1" s="362"/>
    </row>
    <row r="2" spans="1:13" x14ac:dyDescent="0.25">
      <c r="A2" s="68"/>
      <c r="B2" s="68"/>
      <c r="C2" s="68"/>
      <c r="D2" s="68"/>
      <c r="E2" s="68"/>
      <c r="F2" s="68"/>
      <c r="G2" s="68"/>
      <c r="H2" s="68"/>
      <c r="I2" s="68"/>
      <c r="J2" s="363" t="s">
        <v>174</v>
      </c>
      <c r="K2" s="363"/>
      <c r="L2" s="363"/>
      <c r="M2" s="363"/>
    </row>
    <row r="3" spans="1:13" ht="15.75" x14ac:dyDescent="0.25">
      <c r="A3" s="364" t="s">
        <v>175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1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 t="s">
        <v>176</v>
      </c>
    </row>
    <row r="5" spans="1:13" ht="45" customHeight="1" x14ac:dyDescent="0.25">
      <c r="A5" s="348" t="s">
        <v>177</v>
      </c>
      <c r="B5" s="348" t="s">
        <v>178</v>
      </c>
      <c r="C5" s="348"/>
      <c r="D5" s="348"/>
      <c r="E5" s="348" t="s">
        <v>179</v>
      </c>
      <c r="F5" s="348" t="s">
        <v>180</v>
      </c>
      <c r="G5" s="348"/>
      <c r="H5" s="348"/>
      <c r="I5" s="348"/>
      <c r="J5" s="348"/>
      <c r="K5" s="348" t="s">
        <v>181</v>
      </c>
      <c r="L5" s="348"/>
      <c r="M5" s="348"/>
    </row>
    <row r="6" spans="1:13" x14ac:dyDescent="0.25">
      <c r="A6" s="348"/>
      <c r="B6" s="348" t="s">
        <v>142</v>
      </c>
      <c r="C6" s="348" t="s">
        <v>170</v>
      </c>
      <c r="D6" s="348"/>
      <c r="E6" s="348"/>
      <c r="F6" s="348" t="s">
        <v>182</v>
      </c>
      <c r="G6" s="348" t="s">
        <v>183</v>
      </c>
      <c r="H6" s="348" t="s">
        <v>184</v>
      </c>
      <c r="I6" s="348" t="s">
        <v>185</v>
      </c>
      <c r="J6" s="348" t="s">
        <v>186</v>
      </c>
      <c r="K6" s="348" t="s">
        <v>142</v>
      </c>
      <c r="L6" s="348" t="s">
        <v>170</v>
      </c>
      <c r="M6" s="348"/>
    </row>
    <row r="7" spans="1:13" ht="47.25" customHeight="1" x14ac:dyDescent="0.25">
      <c r="A7" s="348"/>
      <c r="B7" s="348"/>
      <c r="C7" s="66" t="s">
        <v>187</v>
      </c>
      <c r="D7" s="66" t="s">
        <v>188</v>
      </c>
      <c r="E7" s="348"/>
      <c r="F7" s="348"/>
      <c r="G7" s="348"/>
      <c r="H7" s="348"/>
      <c r="I7" s="348"/>
      <c r="J7" s="348"/>
      <c r="K7" s="348"/>
      <c r="L7" s="66" t="s">
        <v>187</v>
      </c>
      <c r="M7" s="66" t="s">
        <v>188</v>
      </c>
    </row>
    <row r="8" spans="1:13" x14ac:dyDescent="0.25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</row>
    <row r="9" spans="1:13" ht="25.5" x14ac:dyDescent="0.25">
      <c r="A9" s="70" t="s">
        <v>189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</row>
    <row r="10" spans="1:13" x14ac:dyDescent="0.25">
      <c r="A10" s="70"/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</row>
    <row r="11" spans="1:13" x14ac:dyDescent="0.25">
      <c r="A11" s="70"/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</row>
    <row r="12" spans="1:13" ht="39.75" customHeight="1" x14ac:dyDescent="0.25">
      <c r="A12" s="70" t="s">
        <v>190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</row>
    <row r="13" spans="1:13" x14ac:dyDescent="0.25">
      <c r="A13" s="70"/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</row>
    <row r="14" spans="1:13" x14ac:dyDescent="0.25">
      <c r="A14" s="70"/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1:13" ht="25.5" x14ac:dyDescent="0.25">
      <c r="A15" s="70" t="s">
        <v>191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</row>
    <row r="16" spans="1:13" x14ac:dyDescent="0.25">
      <c r="A16" s="70"/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</row>
    <row r="17" spans="1:13" x14ac:dyDescent="0.25">
      <c r="A17" s="70"/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</row>
    <row r="18" spans="1:13" x14ac:dyDescent="0.25">
      <c r="A18" s="70" t="s">
        <v>142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</row>
    <row r="19" spans="1:13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57" t="s">
        <v>487</v>
      </c>
      <c r="B20" s="64"/>
      <c r="C20" s="64"/>
      <c r="D20" s="342" t="s">
        <v>153</v>
      </c>
      <c r="E20" s="342"/>
      <c r="F20" s="342"/>
      <c r="G20" s="64"/>
      <c r="H20" s="64"/>
      <c r="I20" s="343" t="s">
        <v>488</v>
      </c>
      <c r="J20" s="343"/>
      <c r="K20" s="343"/>
      <c r="L20" s="64"/>
      <c r="M20" s="64"/>
    </row>
    <row r="21" spans="1:13" x14ac:dyDescent="0.25">
      <c r="A21" s="60" t="s">
        <v>154</v>
      </c>
      <c r="B21" s="64"/>
      <c r="C21" s="64"/>
      <c r="D21" s="344" t="s">
        <v>155</v>
      </c>
      <c r="E21" s="344"/>
      <c r="F21" s="344"/>
      <c r="G21" s="64"/>
      <c r="H21" s="64"/>
      <c r="I21" s="313" t="s">
        <v>132</v>
      </c>
      <c r="J21" s="313"/>
      <c r="K21" s="313"/>
      <c r="L21" s="64"/>
      <c r="M21" s="64"/>
    </row>
    <row r="22" spans="1:13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x14ac:dyDescent="0.25">
      <c r="A23" s="65" t="s">
        <v>133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x14ac:dyDescent="0.25">
      <c r="A24" s="299" t="s">
        <v>568</v>
      </c>
    </row>
    <row r="26" spans="1:13" ht="30" x14ac:dyDescent="0.25">
      <c r="A26" s="212" t="s">
        <v>435</v>
      </c>
      <c r="I26" s="341" t="s">
        <v>569</v>
      </c>
      <c r="J26" s="341"/>
      <c r="K26" s="341"/>
    </row>
  </sheetData>
  <mergeCells count="22">
    <mergeCell ref="I26:K26"/>
    <mergeCell ref="F5:J5"/>
    <mergeCell ref="K5:M5"/>
    <mergeCell ref="B6:B7"/>
    <mergeCell ref="C6:D6"/>
    <mergeCell ref="L6:M6"/>
    <mergeCell ref="I1:M1"/>
    <mergeCell ref="D20:F20"/>
    <mergeCell ref="I20:K20"/>
    <mergeCell ref="D21:F21"/>
    <mergeCell ref="I21:K21"/>
    <mergeCell ref="F6:F7"/>
    <mergeCell ref="G6:G7"/>
    <mergeCell ref="H6:H7"/>
    <mergeCell ref="I6:I7"/>
    <mergeCell ref="J6:J7"/>
    <mergeCell ref="K6:K7"/>
    <mergeCell ref="J2:M2"/>
    <mergeCell ref="A3:M3"/>
    <mergeCell ref="A5:A7"/>
    <mergeCell ref="B5:D5"/>
    <mergeCell ref="E5:E7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zoomScaleNormal="100" workbookViewId="0">
      <selection activeCell="I32" sqref="I32:L32"/>
    </sheetView>
  </sheetViews>
  <sheetFormatPr defaultRowHeight="15" x14ac:dyDescent="0.25"/>
  <cols>
    <col min="1" max="1" width="5.42578125" customWidth="1"/>
    <col min="2" max="2" width="44.5703125" customWidth="1"/>
    <col min="3" max="3" width="9.42578125" bestFit="1" customWidth="1"/>
    <col min="4" max="4" width="10.85546875" customWidth="1"/>
    <col min="5" max="5" width="9.42578125" bestFit="1" customWidth="1"/>
    <col min="6" max="6" width="10.7109375" customWidth="1"/>
    <col min="7" max="7" width="9.140625" customWidth="1"/>
    <col min="8" max="8" width="9.85546875" customWidth="1"/>
    <col min="9" max="12" width="10" bestFit="1" customWidth="1"/>
  </cols>
  <sheetData>
    <row r="1" spans="1:15" x14ac:dyDescent="0.25">
      <c r="G1" s="362" t="s">
        <v>556</v>
      </c>
      <c r="H1" s="362"/>
      <c r="I1" s="362"/>
      <c r="J1" s="362"/>
      <c r="K1" s="362"/>
      <c r="L1" s="362"/>
      <c r="M1" s="68"/>
      <c r="N1" s="68"/>
      <c r="O1" s="68"/>
    </row>
    <row r="2" spans="1:15" x14ac:dyDescent="0.25">
      <c r="A2" s="358" t="s">
        <v>437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71"/>
      <c r="N2" s="71"/>
      <c r="O2" s="71"/>
    </row>
    <row r="3" spans="1:15" x14ac:dyDescent="0.25">
      <c r="A3" s="372" t="s">
        <v>557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71"/>
      <c r="N3" s="71"/>
      <c r="O3" s="71"/>
    </row>
    <row r="4" spans="1:15" ht="40.5" customHeight="1" x14ac:dyDescent="0.25">
      <c r="A4" s="365" t="s">
        <v>136</v>
      </c>
      <c r="B4" s="365" t="s">
        <v>192</v>
      </c>
      <c r="C4" s="366" t="s">
        <v>554</v>
      </c>
      <c r="D4" s="366"/>
      <c r="E4" s="365" t="s">
        <v>555</v>
      </c>
      <c r="F4" s="365"/>
      <c r="G4" s="365" t="s">
        <v>193</v>
      </c>
      <c r="H4" s="365"/>
      <c r="I4" s="365" t="s">
        <v>194</v>
      </c>
      <c r="J4" s="365"/>
      <c r="K4" s="365"/>
      <c r="L4" s="365"/>
      <c r="M4" s="72"/>
      <c r="N4" s="72"/>
      <c r="O4" s="72"/>
    </row>
    <row r="5" spans="1:15" ht="38.25" x14ac:dyDescent="0.25">
      <c r="A5" s="365"/>
      <c r="B5" s="365"/>
      <c r="C5" s="91" t="s">
        <v>195</v>
      </c>
      <c r="D5" s="91" t="s">
        <v>196</v>
      </c>
      <c r="E5" s="91" t="s">
        <v>195</v>
      </c>
      <c r="F5" s="91" t="s">
        <v>196</v>
      </c>
      <c r="G5" s="91" t="s">
        <v>195</v>
      </c>
      <c r="H5" s="91" t="s">
        <v>196</v>
      </c>
      <c r="I5" s="66" t="s">
        <v>145</v>
      </c>
      <c r="J5" s="66" t="s">
        <v>146</v>
      </c>
      <c r="K5" s="66" t="s">
        <v>147</v>
      </c>
      <c r="L5" s="66" t="s">
        <v>148</v>
      </c>
      <c r="M5" s="72"/>
      <c r="N5" s="72"/>
      <c r="O5" s="72"/>
    </row>
    <row r="6" spans="1:15" x14ac:dyDescent="0.25">
      <c r="A6" s="66">
        <v>1</v>
      </c>
      <c r="B6" s="146" t="s">
        <v>197</v>
      </c>
      <c r="C6" s="92">
        <v>189</v>
      </c>
      <c r="D6" s="92">
        <v>22</v>
      </c>
      <c r="E6" s="92">
        <v>189</v>
      </c>
      <c r="F6" s="92">
        <v>23</v>
      </c>
      <c r="G6" s="92">
        <v>228</v>
      </c>
      <c r="H6" s="92">
        <v>23</v>
      </c>
      <c r="I6" s="93">
        <v>228</v>
      </c>
      <c r="J6" s="93">
        <v>228</v>
      </c>
      <c r="K6" s="93">
        <v>228</v>
      </c>
      <c r="L6" s="93">
        <v>228</v>
      </c>
      <c r="M6" s="72"/>
      <c r="N6" s="72"/>
      <c r="O6" s="72"/>
    </row>
    <row r="7" spans="1:15" ht="25.5" x14ac:dyDescent="0.25">
      <c r="A7" s="66">
        <v>2</v>
      </c>
      <c r="B7" s="146" t="s">
        <v>198</v>
      </c>
      <c r="C7" s="92">
        <v>186</v>
      </c>
      <c r="D7" s="226">
        <v>22</v>
      </c>
      <c r="E7" s="92">
        <v>189</v>
      </c>
      <c r="F7" s="92">
        <v>23</v>
      </c>
      <c r="G7" s="92">
        <v>228</v>
      </c>
      <c r="H7" s="92">
        <v>23</v>
      </c>
      <c r="I7" s="93">
        <v>228</v>
      </c>
      <c r="J7" s="93">
        <v>228</v>
      </c>
      <c r="K7" s="93">
        <v>228</v>
      </c>
      <c r="L7" s="93">
        <v>228</v>
      </c>
      <c r="M7" s="73"/>
      <c r="N7" s="73"/>
      <c r="O7" s="73"/>
    </row>
    <row r="8" spans="1:15" x14ac:dyDescent="0.25">
      <c r="A8" s="66">
        <v>3</v>
      </c>
      <c r="B8" s="146" t="s">
        <v>199</v>
      </c>
      <c r="C8" s="225">
        <v>38</v>
      </c>
      <c r="D8" s="92">
        <v>2</v>
      </c>
      <c r="E8" s="92">
        <v>39</v>
      </c>
      <c r="F8" s="92">
        <v>2</v>
      </c>
      <c r="G8" s="92">
        <v>0</v>
      </c>
      <c r="H8" s="92">
        <v>0</v>
      </c>
      <c r="I8" s="93">
        <v>0</v>
      </c>
      <c r="J8" s="93">
        <v>0</v>
      </c>
      <c r="K8" s="93">
        <v>0</v>
      </c>
      <c r="L8" s="93">
        <v>0</v>
      </c>
      <c r="M8" s="73"/>
      <c r="N8" s="73"/>
      <c r="O8" s="73"/>
    </row>
    <row r="9" spans="1:15" x14ac:dyDescent="0.25">
      <c r="A9" s="66">
        <v>4</v>
      </c>
      <c r="B9" s="146" t="s">
        <v>200</v>
      </c>
      <c r="C9" s="92">
        <v>32</v>
      </c>
      <c r="D9" s="92">
        <v>0</v>
      </c>
      <c r="E9" s="92">
        <v>40</v>
      </c>
      <c r="F9" s="92">
        <v>6</v>
      </c>
      <c r="G9" s="92">
        <v>0</v>
      </c>
      <c r="H9" s="92">
        <v>0</v>
      </c>
      <c r="I9" s="93">
        <v>0</v>
      </c>
      <c r="J9" s="93">
        <v>0</v>
      </c>
      <c r="K9" s="93">
        <v>0</v>
      </c>
      <c r="L9" s="93">
        <v>0</v>
      </c>
      <c r="M9" s="73"/>
      <c r="N9" s="73"/>
      <c r="O9" s="73"/>
    </row>
    <row r="10" spans="1:15" ht="25.5" x14ac:dyDescent="0.25">
      <c r="A10" s="94">
        <v>5</v>
      </c>
      <c r="B10" s="95" t="s">
        <v>201</v>
      </c>
      <c r="C10" s="96">
        <v>33194.756999999998</v>
      </c>
      <c r="D10" s="96">
        <v>5927.43</v>
      </c>
      <c r="E10" s="96">
        <v>31839.06</v>
      </c>
      <c r="F10" s="96">
        <v>5685.54</v>
      </c>
      <c r="G10" s="96">
        <v>49758.065999999999</v>
      </c>
      <c r="H10" s="96">
        <f t="shared" ref="H10:H11" si="0">F10*1.5636</f>
        <v>8889.9103439999999</v>
      </c>
      <c r="I10" s="97">
        <f>G10/4</f>
        <v>12439.5165</v>
      </c>
      <c r="J10" s="97">
        <f>I10</f>
        <v>12439.5165</v>
      </c>
      <c r="K10" s="97">
        <f t="shared" ref="K10:L10" si="1">J10</f>
        <v>12439.5165</v>
      </c>
      <c r="L10" s="97">
        <f t="shared" si="1"/>
        <v>12439.5165</v>
      </c>
      <c r="M10" s="72"/>
      <c r="N10" s="72"/>
      <c r="O10" s="72"/>
    </row>
    <row r="11" spans="1:15" x14ac:dyDescent="0.25">
      <c r="A11" s="66" t="s">
        <v>202</v>
      </c>
      <c r="B11" s="98" t="s">
        <v>203</v>
      </c>
      <c r="C11" s="92">
        <v>20916.87</v>
      </c>
      <c r="D11" s="92">
        <v>3982.04</v>
      </c>
      <c r="E11" s="92">
        <v>23479.39</v>
      </c>
      <c r="F11" s="92">
        <v>4472.2700000000004</v>
      </c>
      <c r="G11" s="92">
        <v>17540.154999999999</v>
      </c>
      <c r="H11" s="92">
        <f t="shared" si="0"/>
        <v>6992.8413720000008</v>
      </c>
      <c r="I11" s="93">
        <f t="shared" ref="I11:I21" si="2">G11/4</f>
        <v>4385.0387499999997</v>
      </c>
      <c r="J11" s="93">
        <f t="shared" ref="J11:L21" si="3">I11</f>
        <v>4385.0387499999997</v>
      </c>
      <c r="K11" s="93">
        <f t="shared" si="3"/>
        <v>4385.0387499999997</v>
      </c>
      <c r="L11" s="93">
        <f t="shared" si="3"/>
        <v>4385.0387499999997</v>
      </c>
      <c r="M11" s="72"/>
      <c r="N11" s="72"/>
      <c r="O11" s="72"/>
    </row>
    <row r="12" spans="1:15" x14ac:dyDescent="0.25">
      <c r="A12" s="66" t="s">
        <v>204</v>
      </c>
      <c r="B12" s="98" t="s">
        <v>205</v>
      </c>
      <c r="C12" s="92">
        <f>11566.77-C13-C14-C17</f>
        <v>3090.0299999999997</v>
      </c>
      <c r="D12" s="92">
        <v>357.83</v>
      </c>
      <c r="E12" s="92">
        <f>7939.13-E13-E14-E17</f>
        <v>3554.7900000000004</v>
      </c>
      <c r="F12" s="92">
        <v>411.625</v>
      </c>
      <c r="G12" s="92">
        <f>E12*1.5636</f>
        <v>5558.2696440000009</v>
      </c>
      <c r="H12" s="92">
        <f>F12*1.5636</f>
        <v>643.61685</v>
      </c>
      <c r="I12" s="93">
        <f t="shared" si="2"/>
        <v>1389.5674110000002</v>
      </c>
      <c r="J12" s="93">
        <f t="shared" si="3"/>
        <v>1389.5674110000002</v>
      </c>
      <c r="K12" s="93">
        <f t="shared" si="3"/>
        <v>1389.5674110000002</v>
      </c>
      <c r="L12" s="93">
        <f t="shared" si="3"/>
        <v>1389.5674110000002</v>
      </c>
      <c r="M12" s="72"/>
      <c r="N12" s="72"/>
      <c r="O12" s="72"/>
    </row>
    <row r="13" spans="1:15" x14ac:dyDescent="0.25">
      <c r="A13" s="66" t="s">
        <v>206</v>
      </c>
      <c r="B13" s="98" t="s">
        <v>207</v>
      </c>
      <c r="C13" s="92">
        <v>1194.94</v>
      </c>
      <c r="D13" s="92">
        <f>22.53+16.93</f>
        <v>39.46</v>
      </c>
      <c r="E13" s="92">
        <v>1007.54</v>
      </c>
      <c r="F13" s="92">
        <v>33.274999999999999</v>
      </c>
      <c r="G13" s="92">
        <f>E13*1.5636</f>
        <v>1575.3895440000001</v>
      </c>
      <c r="H13" s="92">
        <f>F13*1.5636</f>
        <v>52.028790000000001</v>
      </c>
      <c r="I13" s="93">
        <f t="shared" si="2"/>
        <v>393.84738600000003</v>
      </c>
      <c r="J13" s="93">
        <f t="shared" si="3"/>
        <v>393.84738600000003</v>
      </c>
      <c r="K13" s="93">
        <f t="shared" si="3"/>
        <v>393.84738600000003</v>
      </c>
      <c r="L13" s="93">
        <f t="shared" si="3"/>
        <v>393.84738600000003</v>
      </c>
      <c r="M13" s="72"/>
      <c r="N13" s="72"/>
      <c r="O13" s="72"/>
    </row>
    <row r="14" spans="1:15" x14ac:dyDescent="0.25">
      <c r="A14" s="66" t="s">
        <v>208</v>
      </c>
      <c r="B14" s="98" t="s">
        <v>209</v>
      </c>
      <c r="C14" s="92">
        <v>4791.47</v>
      </c>
      <c r="D14" s="92">
        <v>939.80700000000002</v>
      </c>
      <c r="E14" s="92">
        <v>796.2</v>
      </c>
      <c r="F14" s="92">
        <v>156.42500000000001</v>
      </c>
      <c r="G14" s="92">
        <v>5684.5469999999996</v>
      </c>
      <c r="H14" s="92">
        <f>F14*1.5636</f>
        <v>244.58613000000003</v>
      </c>
      <c r="I14" s="93">
        <f t="shared" si="2"/>
        <v>1421.1367499999999</v>
      </c>
      <c r="J14" s="93">
        <f t="shared" si="3"/>
        <v>1421.1367499999999</v>
      </c>
      <c r="K14" s="93">
        <f t="shared" si="3"/>
        <v>1421.1367499999999</v>
      </c>
      <c r="L14" s="93">
        <f t="shared" si="3"/>
        <v>1421.1367499999999</v>
      </c>
      <c r="M14" s="73"/>
      <c r="N14" s="73"/>
      <c r="O14" s="73"/>
    </row>
    <row r="15" spans="1:15" x14ac:dyDescent="0.25">
      <c r="A15" s="66" t="s">
        <v>210</v>
      </c>
      <c r="B15" s="98" t="s">
        <v>211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3">
        <f t="shared" si="2"/>
        <v>0</v>
      </c>
      <c r="J15" s="93">
        <f t="shared" si="3"/>
        <v>0</v>
      </c>
      <c r="K15" s="93">
        <f t="shared" si="3"/>
        <v>0</v>
      </c>
      <c r="L15" s="93">
        <f t="shared" si="3"/>
        <v>0</v>
      </c>
      <c r="M15" s="73"/>
      <c r="N15" s="73"/>
      <c r="O15" s="73"/>
    </row>
    <row r="16" spans="1:15" x14ac:dyDescent="0.25">
      <c r="A16" s="66" t="s">
        <v>212</v>
      </c>
      <c r="B16" s="98" t="s">
        <v>213</v>
      </c>
      <c r="C16" s="92">
        <v>582.16800000000001</v>
      </c>
      <c r="D16" s="92">
        <v>111.66800000000001</v>
      </c>
      <c r="E16" s="92">
        <v>107.88</v>
      </c>
      <c r="F16" s="92">
        <v>20.7</v>
      </c>
      <c r="G16" s="92">
        <f>E16*1.5636</f>
        <v>168.68116800000001</v>
      </c>
      <c r="H16" s="92">
        <f>F16*1.5636</f>
        <v>32.366520000000001</v>
      </c>
      <c r="I16" s="93">
        <f t="shared" si="2"/>
        <v>42.170292000000003</v>
      </c>
      <c r="J16" s="93">
        <f t="shared" si="3"/>
        <v>42.170292000000003</v>
      </c>
      <c r="K16" s="93">
        <f t="shared" si="3"/>
        <v>42.170292000000003</v>
      </c>
      <c r="L16" s="93">
        <f t="shared" si="3"/>
        <v>42.170292000000003</v>
      </c>
      <c r="M16" s="73"/>
      <c r="N16" s="73"/>
      <c r="O16" s="73"/>
    </row>
    <row r="17" spans="1:15" x14ac:dyDescent="0.25">
      <c r="A17" s="66" t="s">
        <v>214</v>
      </c>
      <c r="B17" s="98" t="s">
        <v>215</v>
      </c>
      <c r="C17" s="92">
        <f>2246.45+243.88</f>
        <v>2490.33</v>
      </c>
      <c r="D17" s="92">
        <v>431.05</v>
      </c>
      <c r="E17" s="92">
        <v>2580.6</v>
      </c>
      <c r="F17" s="92">
        <v>447.245</v>
      </c>
      <c r="G17" s="92">
        <f t="shared" ref="G17:G21" si="4">E17*1.5636</f>
        <v>4035.0261600000003</v>
      </c>
      <c r="H17" s="92">
        <f t="shared" ref="H17:H21" si="5">F17*1.5636</f>
        <v>699.3122820000001</v>
      </c>
      <c r="I17" s="93">
        <f t="shared" si="2"/>
        <v>1008.7565400000001</v>
      </c>
      <c r="J17" s="93">
        <f t="shared" si="3"/>
        <v>1008.7565400000001</v>
      </c>
      <c r="K17" s="93">
        <f t="shared" si="3"/>
        <v>1008.7565400000001</v>
      </c>
      <c r="L17" s="93">
        <f t="shared" si="3"/>
        <v>1008.7565400000001</v>
      </c>
      <c r="M17" s="72"/>
      <c r="N17" s="72"/>
      <c r="O17" s="72"/>
    </row>
    <row r="18" spans="1:15" ht="27.75" customHeight="1" x14ac:dyDescent="0.25">
      <c r="A18" s="66" t="s">
        <v>216</v>
      </c>
      <c r="B18" s="98" t="s">
        <v>217</v>
      </c>
      <c r="C18" s="92">
        <v>635.60799999999995</v>
      </c>
      <c r="D18" s="92">
        <f>6.6+81.5</f>
        <v>88.1</v>
      </c>
      <c r="E18" s="92">
        <v>709.49</v>
      </c>
      <c r="F18" s="92">
        <v>98.335999999999999</v>
      </c>
      <c r="G18" s="92">
        <f t="shared" si="4"/>
        <v>1109.3585640000001</v>
      </c>
      <c r="H18" s="92">
        <f t="shared" si="5"/>
        <v>153.7581696</v>
      </c>
      <c r="I18" s="93">
        <f t="shared" si="2"/>
        <v>277.33964100000003</v>
      </c>
      <c r="J18" s="93">
        <f t="shared" si="3"/>
        <v>277.33964100000003</v>
      </c>
      <c r="K18" s="93">
        <f t="shared" si="3"/>
        <v>277.33964100000003</v>
      </c>
      <c r="L18" s="93">
        <f t="shared" si="3"/>
        <v>277.33964100000003</v>
      </c>
      <c r="M18" s="72"/>
      <c r="N18" s="72"/>
      <c r="O18" s="72"/>
    </row>
    <row r="19" spans="1:15" ht="16.5" customHeight="1" x14ac:dyDescent="0.25">
      <c r="A19" s="66">
        <v>6</v>
      </c>
      <c r="B19" s="98" t="s">
        <v>218</v>
      </c>
      <c r="C19" s="92">
        <f>C10/12/C7</f>
        <v>14.872202956989247</v>
      </c>
      <c r="D19" s="92">
        <f>D10/12/D7</f>
        <v>22.452386363636364</v>
      </c>
      <c r="E19" s="92">
        <f>E10/12/E7</f>
        <v>14.038386243386244</v>
      </c>
      <c r="F19" s="92">
        <f>F10/12/F7</f>
        <v>20.599782608695651</v>
      </c>
      <c r="G19" s="92">
        <f t="shared" si="4"/>
        <v>21.950420730158733</v>
      </c>
      <c r="H19" s="92">
        <f t="shared" si="5"/>
        <v>32.209820086956526</v>
      </c>
      <c r="I19" s="93">
        <f t="shared" si="2"/>
        <v>5.4876051825396832</v>
      </c>
      <c r="J19" s="93">
        <f t="shared" si="3"/>
        <v>5.4876051825396832</v>
      </c>
      <c r="K19" s="93">
        <f t="shared" si="3"/>
        <v>5.4876051825396832</v>
      </c>
      <c r="L19" s="93">
        <f t="shared" si="3"/>
        <v>5.4876051825396832</v>
      </c>
      <c r="M19" s="72"/>
      <c r="N19" s="72"/>
      <c r="O19" s="72"/>
    </row>
    <row r="20" spans="1:15" ht="40.5" customHeight="1" x14ac:dyDescent="0.25">
      <c r="A20" s="66">
        <v>7</v>
      </c>
      <c r="B20" s="146" t="s">
        <v>219</v>
      </c>
      <c r="C20" s="92">
        <v>7</v>
      </c>
      <c r="D20" s="92">
        <v>0</v>
      </c>
      <c r="E20" s="92">
        <v>8</v>
      </c>
      <c r="F20" s="92">
        <v>0</v>
      </c>
      <c r="G20" s="92">
        <f t="shared" si="4"/>
        <v>12.508800000000001</v>
      </c>
      <c r="H20" s="92">
        <f t="shared" si="5"/>
        <v>0</v>
      </c>
      <c r="I20" s="93">
        <f t="shared" si="2"/>
        <v>3.1272000000000002</v>
      </c>
      <c r="J20" s="93">
        <f t="shared" si="3"/>
        <v>3.1272000000000002</v>
      </c>
      <c r="K20" s="93">
        <f t="shared" si="3"/>
        <v>3.1272000000000002</v>
      </c>
      <c r="L20" s="93">
        <f t="shared" si="3"/>
        <v>3.1272000000000002</v>
      </c>
      <c r="M20" s="72"/>
      <c r="N20" s="72"/>
      <c r="O20" s="72"/>
    </row>
    <row r="21" spans="1:15" ht="25.5" x14ac:dyDescent="0.25">
      <c r="A21" s="66">
        <v>8</v>
      </c>
      <c r="B21" s="146" t="s">
        <v>220</v>
      </c>
      <c r="C21" s="92">
        <v>187.72200000000001</v>
      </c>
      <c r="D21" s="92">
        <v>0</v>
      </c>
      <c r="E21" s="99">
        <v>303.87</v>
      </c>
      <c r="F21" s="92">
        <v>0</v>
      </c>
      <c r="G21" s="92">
        <f t="shared" si="4"/>
        <v>475.13113200000004</v>
      </c>
      <c r="H21" s="92">
        <f t="shared" si="5"/>
        <v>0</v>
      </c>
      <c r="I21" s="93">
        <f t="shared" si="2"/>
        <v>118.78278300000001</v>
      </c>
      <c r="J21" s="93">
        <f t="shared" si="3"/>
        <v>118.78278300000001</v>
      </c>
      <c r="K21" s="93">
        <f t="shared" si="3"/>
        <v>118.78278300000001</v>
      </c>
      <c r="L21" s="93">
        <f t="shared" si="3"/>
        <v>118.78278300000001</v>
      </c>
      <c r="M21" s="73"/>
      <c r="N21" s="73"/>
      <c r="O21" s="73"/>
    </row>
    <row r="22" spans="1:15" x14ac:dyDescent="0.25">
      <c r="A22" s="94">
        <v>9</v>
      </c>
      <c r="B22" s="95" t="s">
        <v>221</v>
      </c>
      <c r="C22" s="96">
        <f>C10+C18+C21</f>
        <v>34018.087</v>
      </c>
      <c r="D22" s="96">
        <f>D10+D18+D21</f>
        <v>6015.5300000000007</v>
      </c>
      <c r="E22" s="96">
        <f>E10+E18+E21</f>
        <v>32852.420000000006</v>
      </c>
      <c r="F22" s="96">
        <f>F10+F18+F21</f>
        <v>5783.8760000000002</v>
      </c>
      <c r="G22" s="96">
        <f t="shared" ref="G22:H22" si="6">G10+G18+G21</f>
        <v>51342.555696000003</v>
      </c>
      <c r="H22" s="96">
        <f t="shared" si="6"/>
        <v>9043.6685135999996</v>
      </c>
      <c r="I22" s="97">
        <f t="shared" ref="I22" si="7">I10+I18+I21</f>
        <v>12835.638924000001</v>
      </c>
      <c r="J22" s="97">
        <f t="shared" ref="J22" si="8">J10+J18+J21</f>
        <v>12835.638924000001</v>
      </c>
      <c r="K22" s="97">
        <f t="shared" ref="K22" si="9">K10+K18+K21</f>
        <v>12835.638924000001</v>
      </c>
      <c r="L22" s="97">
        <f t="shared" ref="L22" si="10">L10+L18+L21</f>
        <v>12835.638924000001</v>
      </c>
      <c r="M22" s="73"/>
      <c r="N22" s="73"/>
      <c r="O22" s="73"/>
    </row>
    <row r="23" spans="1:15" ht="27" customHeight="1" x14ac:dyDescent="0.25">
      <c r="A23" s="367" t="s">
        <v>222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154"/>
      <c r="N23" s="154"/>
      <c r="O23" s="154"/>
    </row>
    <row r="24" spans="1:15" x14ac:dyDescent="0.25">
      <c r="B24" s="100" t="s">
        <v>487</v>
      </c>
      <c r="C24" s="57"/>
      <c r="E24" s="361"/>
      <c r="F24" s="361"/>
      <c r="G24" s="89"/>
      <c r="H24" s="370" t="s">
        <v>488</v>
      </c>
      <c r="I24" s="370"/>
      <c r="J24" s="370"/>
      <c r="K24" s="313"/>
      <c r="L24" s="313"/>
      <c r="M24" s="313"/>
    </row>
    <row r="25" spans="1:15" x14ac:dyDescent="0.25">
      <c r="B25" s="60" t="s">
        <v>154</v>
      </c>
      <c r="C25" s="60"/>
      <c r="E25" s="344" t="s">
        <v>155</v>
      </c>
      <c r="F25" s="344"/>
      <c r="G25" s="344"/>
      <c r="H25" s="313" t="s">
        <v>132</v>
      </c>
      <c r="I25" s="313"/>
      <c r="J25" s="313"/>
      <c r="K25" s="313"/>
      <c r="L25" s="313"/>
      <c r="M25" s="313"/>
    </row>
    <row r="26" spans="1:15" hidden="1" x14ac:dyDescent="0.25"/>
    <row r="27" spans="1:15" ht="14.25" customHeight="1" x14ac:dyDescent="0.25">
      <c r="A27" s="371" t="s">
        <v>133</v>
      </c>
      <c r="B27" s="371"/>
    </row>
    <row r="28" spans="1:15" hidden="1" x14ac:dyDescent="0.25"/>
    <row r="29" spans="1:15" x14ac:dyDescent="0.25">
      <c r="A29" s="299" t="s">
        <v>532</v>
      </c>
      <c r="B29" s="299"/>
    </row>
    <row r="30" spans="1:15" x14ac:dyDescent="0.25">
      <c r="A30" s="369" t="s">
        <v>321</v>
      </c>
      <c r="B30" s="369"/>
      <c r="C30" s="369"/>
      <c r="D30" s="369"/>
      <c r="E30" s="369"/>
      <c r="F30" s="369"/>
      <c r="G30" s="369"/>
      <c r="H30" s="369"/>
      <c r="I30" s="369"/>
      <c r="J30" s="369"/>
    </row>
    <row r="32" spans="1:15" x14ac:dyDescent="0.25">
      <c r="A32" s="368" t="s">
        <v>435</v>
      </c>
      <c r="B32" s="368"/>
      <c r="I32" s="341" t="s">
        <v>569</v>
      </c>
      <c r="J32" s="341"/>
      <c r="K32" s="341"/>
      <c r="L32" s="341"/>
    </row>
  </sheetData>
  <mergeCells count="20">
    <mergeCell ref="A23:L23"/>
    <mergeCell ref="A32:B32"/>
    <mergeCell ref="I32:L32"/>
    <mergeCell ref="G1:L1"/>
    <mergeCell ref="A30:J30"/>
    <mergeCell ref="E24:F24"/>
    <mergeCell ref="H25:J25"/>
    <mergeCell ref="H24:J24"/>
    <mergeCell ref="A27:B27"/>
    <mergeCell ref="K24:M24"/>
    <mergeCell ref="E25:G25"/>
    <mergeCell ref="K25:M25"/>
    <mergeCell ref="A2:L2"/>
    <mergeCell ref="A3:L3"/>
    <mergeCell ref="A4:A5"/>
    <mergeCell ref="B4:B5"/>
    <mergeCell ref="C4:D4"/>
    <mergeCell ref="E4:F4"/>
    <mergeCell ref="G4:H4"/>
    <mergeCell ref="I4:L4"/>
  </mergeCells>
  <pageMargins left="0" right="0" top="0" bottom="0" header="0.31496062992125984" footer="0.31496062992125984"/>
  <pageSetup paperSize="9" scale="96" orientation="landscape" verticalDpi="30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7" sqref="I7"/>
    </sheetView>
  </sheetViews>
  <sheetFormatPr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D1" s="363" t="s">
        <v>489</v>
      </c>
      <c r="E1" s="363"/>
      <c r="F1" s="363"/>
    </row>
    <row r="2" spans="1:6" x14ac:dyDescent="0.25">
      <c r="D2" s="373" t="s">
        <v>223</v>
      </c>
      <c r="E2" s="373"/>
      <c r="F2" s="373"/>
    </row>
    <row r="3" spans="1:6" ht="15.75" x14ac:dyDescent="0.25">
      <c r="A3" s="74"/>
      <c r="B3" s="74"/>
      <c r="C3" s="74"/>
      <c r="D3" s="74"/>
      <c r="E3" s="74"/>
      <c r="F3" s="74"/>
    </row>
    <row r="4" spans="1:6" ht="15.75" x14ac:dyDescent="0.25">
      <c r="A4" s="364" t="s">
        <v>224</v>
      </c>
      <c r="B4" s="364"/>
      <c r="C4" s="364"/>
      <c r="D4" s="364"/>
      <c r="E4" s="364"/>
      <c r="F4" s="364"/>
    </row>
    <row r="5" spans="1:6" ht="15.75" x14ac:dyDescent="0.25">
      <c r="A5" s="364"/>
      <c r="B5" s="364"/>
      <c r="C5" s="364"/>
      <c r="D5" s="364"/>
      <c r="E5" s="364"/>
      <c r="F5" s="364"/>
    </row>
    <row r="6" spans="1:6" ht="15.75" x14ac:dyDescent="0.25">
      <c r="A6" s="114"/>
      <c r="B6" s="114"/>
      <c r="C6" s="114"/>
      <c r="D6" s="114"/>
      <c r="E6" s="114"/>
      <c r="F6" s="115"/>
    </row>
    <row r="7" spans="1:6" ht="38.25" x14ac:dyDescent="0.25">
      <c r="A7" s="91" t="s">
        <v>225</v>
      </c>
      <c r="B7" s="91" t="s">
        <v>226</v>
      </c>
      <c r="C7" s="91" t="s">
        <v>561</v>
      </c>
      <c r="D7" s="91" t="s">
        <v>227</v>
      </c>
      <c r="E7" s="91" t="s">
        <v>560</v>
      </c>
      <c r="F7" s="91" t="s">
        <v>228</v>
      </c>
    </row>
    <row r="8" spans="1:6" x14ac:dyDescent="0.25">
      <c r="A8" s="101" t="s">
        <v>229</v>
      </c>
      <c r="B8" s="101">
        <v>0</v>
      </c>
      <c r="C8" s="96">
        <v>0</v>
      </c>
      <c r="D8" s="96">
        <v>0</v>
      </c>
      <c r="E8" s="96">
        <v>0</v>
      </c>
      <c r="F8" s="101"/>
    </row>
    <row r="9" spans="1:6" x14ac:dyDescent="0.25">
      <c r="A9" s="91" t="s">
        <v>230</v>
      </c>
      <c r="B9" s="91"/>
      <c r="C9" s="92"/>
      <c r="D9" s="92"/>
      <c r="E9" s="92"/>
      <c r="F9" s="91"/>
    </row>
    <row r="10" spans="1:6" x14ac:dyDescent="0.25">
      <c r="A10" s="101" t="s">
        <v>231</v>
      </c>
      <c r="B10" s="101" t="s">
        <v>447</v>
      </c>
      <c r="C10" s="96">
        <v>29738</v>
      </c>
      <c r="D10" s="96">
        <v>2551</v>
      </c>
      <c r="E10" s="96">
        <v>19574</v>
      </c>
      <c r="F10" s="101"/>
    </row>
    <row r="11" spans="1:6" x14ac:dyDescent="0.25">
      <c r="A11" s="91" t="s">
        <v>230</v>
      </c>
      <c r="B11" s="91"/>
      <c r="C11" s="92"/>
      <c r="D11" s="92"/>
      <c r="E11" s="92"/>
      <c r="F11" s="91"/>
    </row>
    <row r="12" spans="1:6" x14ac:dyDescent="0.25">
      <c r="A12" s="101" t="s">
        <v>232</v>
      </c>
      <c r="B12" s="101" t="s">
        <v>447</v>
      </c>
      <c r="C12" s="96">
        <v>10064</v>
      </c>
      <c r="D12" s="96">
        <v>1084</v>
      </c>
      <c r="E12" s="96">
        <v>3788</v>
      </c>
      <c r="F12" s="91"/>
    </row>
    <row r="13" spans="1:6" x14ac:dyDescent="0.25">
      <c r="A13" s="91" t="s">
        <v>230</v>
      </c>
      <c r="B13" s="91"/>
      <c r="C13" s="92"/>
      <c r="D13" s="92"/>
      <c r="E13" s="92"/>
      <c r="F13" s="91"/>
    </row>
    <row r="14" spans="1:6" x14ac:dyDescent="0.25">
      <c r="A14" s="101" t="s">
        <v>233</v>
      </c>
      <c r="B14" s="101" t="s">
        <v>447</v>
      </c>
      <c r="C14" s="96">
        <v>6760</v>
      </c>
      <c r="D14" s="96">
        <v>12</v>
      </c>
      <c r="E14" s="96">
        <v>262</v>
      </c>
      <c r="F14" s="101"/>
    </row>
    <row r="15" spans="1:6" x14ac:dyDescent="0.25">
      <c r="A15" s="91" t="s">
        <v>230</v>
      </c>
      <c r="B15" s="91"/>
      <c r="C15" s="92"/>
      <c r="D15" s="92"/>
      <c r="E15" s="92"/>
      <c r="F15" s="91"/>
    </row>
    <row r="16" spans="1:6" x14ac:dyDescent="0.25">
      <c r="A16" s="101" t="s">
        <v>234</v>
      </c>
      <c r="B16" s="101" t="s">
        <v>447</v>
      </c>
      <c r="C16" s="221">
        <v>10622</v>
      </c>
      <c r="D16" s="221">
        <v>890</v>
      </c>
      <c r="E16" s="221">
        <v>9150</v>
      </c>
      <c r="F16" s="101"/>
    </row>
    <row r="17" spans="1:6" x14ac:dyDescent="0.25">
      <c r="A17" s="91" t="s">
        <v>230</v>
      </c>
      <c r="B17" s="91"/>
      <c r="C17" s="92"/>
      <c r="D17" s="92"/>
      <c r="E17" s="92"/>
      <c r="F17" s="91"/>
    </row>
    <row r="18" spans="1:6" x14ac:dyDescent="0.25">
      <c r="A18" s="101" t="s">
        <v>235</v>
      </c>
      <c r="B18" s="101" t="s">
        <v>447</v>
      </c>
      <c r="C18" s="96">
        <v>533</v>
      </c>
      <c r="D18" s="96">
        <v>38</v>
      </c>
      <c r="E18" s="96">
        <v>570</v>
      </c>
      <c r="F18" s="101"/>
    </row>
    <row r="19" spans="1:6" x14ac:dyDescent="0.25">
      <c r="A19" s="91" t="s">
        <v>230</v>
      </c>
      <c r="B19" s="91"/>
      <c r="C19" s="92"/>
      <c r="D19" s="92"/>
      <c r="E19" s="92"/>
      <c r="F19" s="91"/>
    </row>
    <row r="20" spans="1:6" x14ac:dyDescent="0.25">
      <c r="A20" s="101" t="s">
        <v>236</v>
      </c>
      <c r="B20" s="101"/>
      <c r="C20" s="96">
        <f>SUM(C10:C19)</f>
        <v>57717</v>
      </c>
      <c r="D20" s="96">
        <f t="shared" ref="D20:E20" si="0">SUM(D10:D19)</f>
        <v>4575</v>
      </c>
      <c r="E20" s="96">
        <f t="shared" si="0"/>
        <v>33344</v>
      </c>
      <c r="F20" s="101"/>
    </row>
    <row r="22" spans="1:6" x14ac:dyDescent="0.25">
      <c r="A22" s="90" t="s">
        <v>487</v>
      </c>
      <c r="B22" s="89"/>
      <c r="C22" s="102"/>
      <c r="D22" s="89"/>
      <c r="E22" s="343" t="s">
        <v>488</v>
      </c>
      <c r="F22" s="343"/>
    </row>
    <row r="23" spans="1:6" x14ac:dyDescent="0.25">
      <c r="A23" s="2" t="s">
        <v>154</v>
      </c>
      <c r="B23" s="1"/>
      <c r="C23" s="1" t="s">
        <v>155</v>
      </c>
      <c r="D23" s="1"/>
      <c r="E23" s="313" t="s">
        <v>132</v>
      </c>
      <c r="F23" s="313"/>
    </row>
    <row r="25" spans="1:6" x14ac:dyDescent="0.25">
      <c r="A25" s="68" t="s">
        <v>133</v>
      </c>
    </row>
    <row r="26" spans="1:6" x14ac:dyDescent="0.25">
      <c r="A26" s="299" t="s">
        <v>532</v>
      </c>
    </row>
    <row r="28" spans="1:6" x14ac:dyDescent="0.25">
      <c r="A28" s="63" t="s">
        <v>435</v>
      </c>
      <c r="F28" s="63" t="s">
        <v>569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B41" sqref="B41:I41"/>
    </sheetView>
  </sheetViews>
  <sheetFormatPr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  <col min="11" max="11" width="9.140625" hidden="1" customWidth="1"/>
  </cols>
  <sheetData>
    <row r="1" spans="1:10" x14ac:dyDescent="0.25">
      <c r="G1" s="363" t="s">
        <v>564</v>
      </c>
      <c r="H1" s="363"/>
      <c r="I1" s="363"/>
    </row>
    <row r="2" spans="1:10" x14ac:dyDescent="0.25">
      <c r="G2" s="373"/>
      <c r="H2" s="373"/>
      <c r="I2" s="373"/>
    </row>
    <row r="3" spans="1:10" ht="18.75" x14ac:dyDescent="0.3">
      <c r="A3" s="376" t="s">
        <v>238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15.75" x14ac:dyDescent="0.25">
      <c r="A5" s="377" t="s">
        <v>239</v>
      </c>
      <c r="B5" s="377"/>
      <c r="C5" s="377"/>
      <c r="D5" s="377"/>
      <c r="E5" s="377"/>
      <c r="F5" s="377"/>
      <c r="G5" s="377"/>
      <c r="H5" s="377"/>
      <c r="I5" s="377"/>
      <c r="J5" s="68"/>
    </row>
    <row r="6" spans="1:10" x14ac:dyDescent="0.25">
      <c r="A6" s="149"/>
      <c r="B6" s="149"/>
      <c r="C6" s="149"/>
      <c r="D6" s="149"/>
      <c r="E6" s="149"/>
      <c r="F6" s="149"/>
      <c r="G6" s="149"/>
      <c r="H6" s="149"/>
      <c r="I6" s="147" t="s">
        <v>237</v>
      </c>
      <c r="J6" s="68"/>
    </row>
    <row r="7" spans="1:10" x14ac:dyDescent="0.25">
      <c r="A7" s="68"/>
      <c r="B7" s="68"/>
      <c r="C7" s="68"/>
      <c r="D7" s="68"/>
      <c r="E7" s="68"/>
      <c r="F7" s="68"/>
      <c r="G7" s="68"/>
      <c r="H7" s="68"/>
      <c r="I7" s="69" t="s">
        <v>176</v>
      </c>
      <c r="J7" s="68"/>
    </row>
    <row r="8" spans="1:10" x14ac:dyDescent="0.25">
      <c r="A8" s="348" t="s">
        <v>136</v>
      </c>
      <c r="B8" s="348" t="s">
        <v>240</v>
      </c>
      <c r="C8" s="348" t="s">
        <v>241</v>
      </c>
      <c r="D8" s="348" t="s">
        <v>242</v>
      </c>
      <c r="E8" s="348" t="s">
        <v>243</v>
      </c>
      <c r="F8" s="348"/>
      <c r="G8" s="348"/>
      <c r="H8" s="348" t="s">
        <v>244</v>
      </c>
      <c r="I8" s="378" t="s">
        <v>245</v>
      </c>
      <c r="J8" s="87"/>
    </row>
    <row r="9" spans="1:10" ht="59.25" customHeight="1" x14ac:dyDescent="0.25">
      <c r="A9" s="348"/>
      <c r="B9" s="348"/>
      <c r="C9" s="348"/>
      <c r="D9" s="348"/>
      <c r="E9" s="103" t="s">
        <v>562</v>
      </c>
      <c r="F9" s="66" t="s">
        <v>563</v>
      </c>
      <c r="G9" s="66" t="s">
        <v>247</v>
      </c>
      <c r="H9" s="348"/>
      <c r="I9" s="378"/>
      <c r="J9" s="87"/>
    </row>
    <row r="10" spans="1:10" x14ac:dyDescent="0.25">
      <c r="A10" s="66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87"/>
    </row>
    <row r="11" spans="1:10" ht="51" x14ac:dyDescent="0.25">
      <c r="A11" s="66"/>
      <c r="B11" s="222" t="s">
        <v>448</v>
      </c>
      <c r="C11" s="66">
        <v>1995</v>
      </c>
      <c r="D11" s="66" t="s">
        <v>449</v>
      </c>
      <c r="E11" s="66">
        <v>48631.83</v>
      </c>
      <c r="F11" s="66">
        <f>(E11+G11)/2</f>
        <v>71721.830020282709</v>
      </c>
      <c r="G11" s="66">
        <v>94811.830040565415</v>
      </c>
      <c r="H11" s="224">
        <f>F11/G11</f>
        <v>0.75646498954398822</v>
      </c>
      <c r="I11" s="91">
        <f>E11/G11</f>
        <v>0.51292997908797655</v>
      </c>
      <c r="J11" s="87"/>
    </row>
    <row r="12" spans="1:10" ht="51" x14ac:dyDescent="0.25">
      <c r="A12" s="66"/>
      <c r="B12" s="86" t="s">
        <v>450</v>
      </c>
      <c r="C12" s="66">
        <v>2015</v>
      </c>
      <c r="D12" s="66" t="s">
        <v>449</v>
      </c>
      <c r="E12" s="66">
        <v>108997.04</v>
      </c>
      <c r="F12" s="66">
        <f t="shared" ref="F12:F29" si="0">(E12+G12)/2</f>
        <v>70140.726188342378</v>
      </c>
      <c r="G12" s="66">
        <v>31284.412376684766</v>
      </c>
      <c r="H12" s="224">
        <f t="shared" ref="H12:H30" si="1">F12/G12</f>
        <v>2.2420343186824865</v>
      </c>
      <c r="I12" s="91">
        <f t="shared" ref="I12:I30" si="2">E12/G12</f>
        <v>3.484068637364973</v>
      </c>
      <c r="J12" s="87"/>
    </row>
    <row r="13" spans="1:10" ht="51" x14ac:dyDescent="0.25">
      <c r="A13" s="66"/>
      <c r="B13" s="86" t="s">
        <v>451</v>
      </c>
      <c r="C13" s="66">
        <v>2016</v>
      </c>
      <c r="D13" s="66" t="s">
        <v>452</v>
      </c>
      <c r="E13" s="66">
        <v>51874.13</v>
      </c>
      <c r="F13" s="66">
        <f t="shared" si="0"/>
        <v>103549.03922448693</v>
      </c>
      <c r="G13" s="66">
        <v>155223.94844897385</v>
      </c>
      <c r="H13" s="224">
        <f t="shared" si="1"/>
        <v>0.66709448032451124</v>
      </c>
      <c r="I13" s="91">
        <f t="shared" si="2"/>
        <v>0.33418896064902237</v>
      </c>
      <c r="J13" s="87"/>
    </row>
    <row r="14" spans="1:10" ht="51" x14ac:dyDescent="0.25">
      <c r="A14" s="66"/>
      <c r="B14" s="86" t="s">
        <v>453</v>
      </c>
      <c r="C14" s="66">
        <v>2006</v>
      </c>
      <c r="D14" s="66" t="s">
        <v>452</v>
      </c>
      <c r="E14" s="66">
        <v>20257.28</v>
      </c>
      <c r="F14" s="66">
        <f t="shared" si="0"/>
        <v>27022.014556418988</v>
      </c>
      <c r="G14" s="66">
        <v>33786.749112837977</v>
      </c>
      <c r="H14" s="224">
        <f t="shared" si="1"/>
        <v>0.79978143106261179</v>
      </c>
      <c r="I14" s="91">
        <f t="shared" si="2"/>
        <v>0.59956286212522369</v>
      </c>
      <c r="J14" s="87"/>
    </row>
    <row r="15" spans="1:10" ht="51" x14ac:dyDescent="0.25">
      <c r="A15" s="66"/>
      <c r="B15" s="86" t="s">
        <v>454</v>
      </c>
      <c r="C15" s="66">
        <v>2008</v>
      </c>
      <c r="D15" s="66" t="s">
        <v>452</v>
      </c>
      <c r="E15" s="66">
        <v>117392.98</v>
      </c>
      <c r="F15" s="66">
        <f t="shared" si="0"/>
        <v>119151.44022479982</v>
      </c>
      <c r="G15" s="66">
        <v>120909.90044959966</v>
      </c>
      <c r="H15" s="224">
        <f t="shared" si="1"/>
        <v>0.98545644138105271</v>
      </c>
      <c r="I15" s="91">
        <f t="shared" si="2"/>
        <v>0.97091288276210541</v>
      </c>
      <c r="J15" s="87"/>
    </row>
    <row r="16" spans="1:10" ht="51" x14ac:dyDescent="0.25">
      <c r="A16" s="66"/>
      <c r="B16" s="86" t="s">
        <v>455</v>
      </c>
      <c r="C16" s="66">
        <v>2008</v>
      </c>
      <c r="D16" s="66" t="s">
        <v>452</v>
      </c>
      <c r="E16" s="66">
        <v>91898.87</v>
      </c>
      <c r="F16" s="66">
        <f t="shared" si="0"/>
        <v>88171.332202314283</v>
      </c>
      <c r="G16" s="66">
        <v>84443.794404628556</v>
      </c>
      <c r="H16" s="224">
        <f t="shared" si="1"/>
        <v>1.0441422347724514</v>
      </c>
      <c r="I16" s="91">
        <f t="shared" si="2"/>
        <v>1.0882844695449025</v>
      </c>
      <c r="J16" s="87"/>
    </row>
    <row r="17" spans="1:10" ht="25.5" x14ac:dyDescent="0.25">
      <c r="A17" s="66"/>
      <c r="B17" s="86" t="s">
        <v>456</v>
      </c>
      <c r="C17" s="66">
        <v>2007</v>
      </c>
      <c r="D17" s="66" t="s">
        <v>457</v>
      </c>
      <c r="E17" s="66">
        <v>91214.21</v>
      </c>
      <c r="F17" s="66">
        <f t="shared" si="0"/>
        <v>104262.87729222086</v>
      </c>
      <c r="G17" s="66">
        <v>117311.54458444171</v>
      </c>
      <c r="H17" s="224">
        <f t="shared" si="1"/>
        <v>0.88876911186836927</v>
      </c>
      <c r="I17" s="91">
        <f t="shared" si="2"/>
        <v>0.77753822373673842</v>
      </c>
      <c r="J17" s="87"/>
    </row>
    <row r="18" spans="1:10" ht="25.5" x14ac:dyDescent="0.25">
      <c r="A18" s="66"/>
      <c r="B18" s="86" t="s">
        <v>458</v>
      </c>
      <c r="C18" s="66">
        <v>2008</v>
      </c>
      <c r="D18" s="66" t="s">
        <v>457</v>
      </c>
      <c r="E18" s="66">
        <v>60727</v>
      </c>
      <c r="F18" s="66">
        <f t="shared" si="0"/>
        <v>84516.421477727883</v>
      </c>
      <c r="G18" s="66">
        <v>108305.84295545577</v>
      </c>
      <c r="H18" s="224">
        <f t="shared" si="1"/>
        <v>0.78034960230620209</v>
      </c>
      <c r="I18" s="91">
        <f t="shared" si="2"/>
        <v>0.56069920461240408</v>
      </c>
      <c r="J18" s="87"/>
    </row>
    <row r="19" spans="1:10" ht="25.5" x14ac:dyDescent="0.25">
      <c r="A19" s="66"/>
      <c r="B19" s="86" t="s">
        <v>459</v>
      </c>
      <c r="C19" s="66">
        <v>1995</v>
      </c>
      <c r="D19" s="66" t="s">
        <v>457</v>
      </c>
      <c r="E19" s="66">
        <v>0</v>
      </c>
      <c r="F19" s="66">
        <f t="shared" si="0"/>
        <v>0</v>
      </c>
      <c r="G19" s="66">
        <v>0</v>
      </c>
      <c r="H19" s="224">
        <v>0</v>
      </c>
      <c r="I19" s="91">
        <v>0</v>
      </c>
      <c r="J19" s="87"/>
    </row>
    <row r="20" spans="1:10" ht="25.5" x14ac:dyDescent="0.25">
      <c r="A20" s="66"/>
      <c r="B20" s="86" t="s">
        <v>460</v>
      </c>
      <c r="C20" s="66">
        <v>1980</v>
      </c>
      <c r="D20" s="66" t="s">
        <v>457</v>
      </c>
      <c r="E20" s="66">
        <v>45198.85</v>
      </c>
      <c r="F20" s="66">
        <f t="shared" si="0"/>
        <v>99188.519637173769</v>
      </c>
      <c r="G20" s="66">
        <v>153178.18927434753</v>
      </c>
      <c r="H20" s="224">
        <f t="shared" si="1"/>
        <v>0.64753683345560142</v>
      </c>
      <c r="I20" s="91">
        <f t="shared" si="2"/>
        <v>0.29507366691120279</v>
      </c>
      <c r="J20" s="87"/>
    </row>
    <row r="21" spans="1:10" ht="25.5" x14ac:dyDescent="0.25">
      <c r="A21" s="66"/>
      <c r="B21" s="86" t="s">
        <v>461</v>
      </c>
      <c r="C21" s="66">
        <v>1983</v>
      </c>
      <c r="D21" s="66" t="s">
        <v>457</v>
      </c>
      <c r="E21" s="66">
        <v>0</v>
      </c>
      <c r="F21" s="66">
        <f t="shared" si="0"/>
        <v>0</v>
      </c>
      <c r="G21" s="66">
        <v>0</v>
      </c>
      <c r="H21" s="224">
        <v>0</v>
      </c>
      <c r="I21" s="91">
        <v>0</v>
      </c>
      <c r="J21" s="87"/>
    </row>
    <row r="22" spans="1:10" ht="25.5" x14ac:dyDescent="0.25">
      <c r="A22" s="66"/>
      <c r="B22" s="86" t="s">
        <v>462</v>
      </c>
      <c r="C22" s="66">
        <v>1980</v>
      </c>
      <c r="D22" s="66" t="s">
        <v>457</v>
      </c>
      <c r="E22" s="66">
        <v>9012.83</v>
      </c>
      <c r="F22" s="66">
        <f t="shared" si="0"/>
        <v>4506.415</v>
      </c>
      <c r="G22" s="66">
        <v>0</v>
      </c>
      <c r="H22" s="224">
        <v>0</v>
      </c>
      <c r="I22" s="91">
        <v>0</v>
      </c>
      <c r="J22" s="87"/>
    </row>
    <row r="23" spans="1:10" ht="25.5" x14ac:dyDescent="0.25">
      <c r="A23" s="66"/>
      <c r="B23" s="86" t="s">
        <v>463</v>
      </c>
      <c r="C23" s="66">
        <v>2006</v>
      </c>
      <c r="D23" s="66" t="s">
        <v>457</v>
      </c>
      <c r="E23" s="66">
        <v>24274.799999999999</v>
      </c>
      <c r="F23" s="66">
        <f t="shared" si="0"/>
        <v>64374.275311099154</v>
      </c>
      <c r="G23" s="66">
        <v>104473.75062219831</v>
      </c>
      <c r="H23" s="224">
        <f t="shared" si="1"/>
        <v>0.61617655083420619</v>
      </c>
      <c r="I23" s="91">
        <f t="shared" si="2"/>
        <v>0.23235310166841233</v>
      </c>
      <c r="J23" s="87"/>
    </row>
    <row r="24" spans="1:10" ht="25.5" x14ac:dyDescent="0.25">
      <c r="A24" s="66"/>
      <c r="B24" s="86" t="s">
        <v>464</v>
      </c>
      <c r="C24" s="66">
        <v>2017</v>
      </c>
      <c r="D24" s="66" t="s">
        <v>457</v>
      </c>
      <c r="E24" s="66">
        <v>28760.55</v>
      </c>
      <c r="F24" s="66">
        <f t="shared" si="0"/>
        <v>48031.693428566512</v>
      </c>
      <c r="G24" s="66">
        <v>67302.836857133021</v>
      </c>
      <c r="H24" s="224">
        <f t="shared" si="1"/>
        <v>0.71366521340735911</v>
      </c>
      <c r="I24" s="91">
        <f t="shared" si="2"/>
        <v>0.42733042681471817</v>
      </c>
      <c r="J24" s="87"/>
    </row>
    <row r="25" spans="1:10" ht="25.5" x14ac:dyDescent="0.25">
      <c r="A25" s="66"/>
      <c r="B25" s="223" t="s">
        <v>465</v>
      </c>
      <c r="C25" s="66">
        <v>2016</v>
      </c>
      <c r="D25" s="66" t="s">
        <v>457</v>
      </c>
      <c r="E25" s="66">
        <v>124723.88</v>
      </c>
      <c r="F25" s="66">
        <f t="shared" si="0"/>
        <v>246167.02652355851</v>
      </c>
      <c r="G25" s="66">
        <v>367610.17304711702</v>
      </c>
      <c r="H25" s="224">
        <f t="shared" si="1"/>
        <v>0.66964149681463525</v>
      </c>
      <c r="I25" s="91">
        <f t="shared" si="2"/>
        <v>0.33928299362927045</v>
      </c>
      <c r="J25" s="87"/>
    </row>
    <row r="26" spans="1:10" ht="25.5" x14ac:dyDescent="0.25">
      <c r="A26" s="66"/>
      <c r="B26" s="86" t="s">
        <v>466</v>
      </c>
      <c r="C26" s="66">
        <v>2017</v>
      </c>
      <c r="D26" s="66" t="s">
        <v>457</v>
      </c>
      <c r="E26" s="66">
        <v>65003.5</v>
      </c>
      <c r="F26" s="66">
        <f t="shared" si="0"/>
        <v>103432.74621548073</v>
      </c>
      <c r="G26" s="66">
        <v>141861.99243096146</v>
      </c>
      <c r="H26" s="224">
        <f t="shared" si="1"/>
        <v>0.72910823006956782</v>
      </c>
      <c r="I26" s="91">
        <f t="shared" si="2"/>
        <v>0.45821646013913553</v>
      </c>
      <c r="J26" s="87"/>
    </row>
    <row r="27" spans="1:10" ht="38.25" x14ac:dyDescent="0.25">
      <c r="A27" s="66"/>
      <c r="B27" s="86" t="s">
        <v>467</v>
      </c>
      <c r="C27" s="66">
        <v>2004</v>
      </c>
      <c r="D27" s="66" t="s">
        <v>457</v>
      </c>
      <c r="E27" s="66">
        <v>18660.11</v>
      </c>
      <c r="F27" s="66">
        <f t="shared" si="0"/>
        <v>32034.565811804496</v>
      </c>
      <c r="G27" s="66">
        <v>45409.021623608991</v>
      </c>
      <c r="H27" s="224">
        <f t="shared" si="1"/>
        <v>0.70546699017952708</v>
      </c>
      <c r="I27" s="91">
        <f t="shared" si="2"/>
        <v>0.4109339803590541</v>
      </c>
      <c r="J27" s="87"/>
    </row>
    <row r="28" spans="1:10" ht="25.5" x14ac:dyDescent="0.25">
      <c r="A28" s="66"/>
      <c r="B28" s="86" t="s">
        <v>468</v>
      </c>
      <c r="C28" s="66">
        <v>2006</v>
      </c>
      <c r="D28" s="66" t="s">
        <v>457</v>
      </c>
      <c r="E28" s="66">
        <v>0</v>
      </c>
      <c r="F28" s="66">
        <f t="shared" si="0"/>
        <v>48423.479816978048</v>
      </c>
      <c r="G28" s="66">
        <v>96846.959633956096</v>
      </c>
      <c r="H28" s="224">
        <f t="shared" si="1"/>
        <v>0.5</v>
      </c>
      <c r="I28" s="91">
        <f t="shared" si="2"/>
        <v>0</v>
      </c>
      <c r="J28" s="87"/>
    </row>
    <row r="29" spans="1:10" ht="25.5" x14ac:dyDescent="0.25">
      <c r="A29" s="66"/>
      <c r="B29" s="86" t="s">
        <v>469</v>
      </c>
      <c r="C29" s="66">
        <v>2006</v>
      </c>
      <c r="D29" s="66" t="s">
        <v>457</v>
      </c>
      <c r="E29" s="66">
        <v>0</v>
      </c>
      <c r="F29" s="66">
        <f t="shared" si="0"/>
        <v>39769.269343773864</v>
      </c>
      <c r="G29" s="66">
        <v>79538.538687547727</v>
      </c>
      <c r="H29" s="224">
        <f t="shared" si="1"/>
        <v>0.5</v>
      </c>
      <c r="I29" s="91">
        <f t="shared" si="2"/>
        <v>0</v>
      </c>
      <c r="J29" s="87"/>
    </row>
    <row r="30" spans="1:10" ht="15" customHeight="1" x14ac:dyDescent="0.25">
      <c r="A30" s="379" t="s">
        <v>142</v>
      </c>
      <c r="B30" s="380"/>
      <c r="C30" s="380"/>
      <c r="D30" s="381"/>
      <c r="E30" s="66">
        <f>(SUM(E11:E29))*1.0501</f>
        <v>952049.91578599997</v>
      </c>
      <c r="F30" s="66">
        <f>SUM(F11:F29)</f>
        <v>1354463.6722750289</v>
      </c>
      <c r="G30" s="66">
        <f>SUM(G11:G29)</f>
        <v>1802299.4845500577</v>
      </c>
      <c r="H30" s="224">
        <f t="shared" si="1"/>
        <v>0.75151975789038716</v>
      </c>
      <c r="I30" s="91">
        <f t="shared" si="2"/>
        <v>0.52824179552139106</v>
      </c>
      <c r="J30" s="87"/>
    </row>
    <row r="31" spans="1:10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</row>
    <row r="32" spans="1:10" ht="15.75" x14ac:dyDescent="0.25">
      <c r="A32" s="382"/>
      <c r="B32" s="382"/>
      <c r="C32" s="382"/>
      <c r="D32" s="382"/>
      <c r="E32" s="382"/>
      <c r="F32" s="382"/>
      <c r="G32" s="382"/>
      <c r="H32" s="382"/>
      <c r="I32" s="382"/>
      <c r="J32" s="382"/>
    </row>
    <row r="33" spans="1:10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50"/>
    </row>
    <row r="34" spans="1:10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</row>
    <row r="35" spans="1:10" ht="15" customHeight="1" x14ac:dyDescent="0.25">
      <c r="A35" s="64"/>
      <c r="B35" s="90" t="s">
        <v>487</v>
      </c>
      <c r="C35" s="89"/>
      <c r="D35" s="361"/>
      <c r="E35" s="361"/>
      <c r="F35" s="313"/>
      <c r="G35" s="313"/>
      <c r="H35" s="374" t="s">
        <v>488</v>
      </c>
      <c r="I35" s="374"/>
      <c r="J35" s="64"/>
    </row>
    <row r="36" spans="1:10" x14ac:dyDescent="0.25">
      <c r="A36" s="64"/>
      <c r="B36" s="60" t="s">
        <v>154</v>
      </c>
      <c r="C36" s="1"/>
      <c r="D36" s="1" t="s">
        <v>155</v>
      </c>
      <c r="E36" s="1"/>
      <c r="F36" s="313"/>
      <c r="G36" s="313"/>
      <c r="H36" s="313" t="s">
        <v>132</v>
      </c>
      <c r="I36" s="313"/>
      <c r="J36" s="64"/>
    </row>
    <row r="37" spans="1:10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</row>
    <row r="38" spans="1:10" ht="16.5" customHeight="1" x14ac:dyDescent="0.25">
      <c r="A38" s="64"/>
      <c r="B38" s="104" t="s">
        <v>133</v>
      </c>
      <c r="C38" s="64"/>
      <c r="D38" s="64"/>
      <c r="E38" s="64"/>
      <c r="F38" s="64"/>
      <c r="G38" s="64"/>
      <c r="H38" s="64"/>
      <c r="I38" s="64"/>
      <c r="J38" s="64"/>
    </row>
    <row r="39" spans="1:10" ht="11.25" customHeight="1" x14ac:dyDescent="0.25">
      <c r="B39" s="299" t="s">
        <v>568</v>
      </c>
    </row>
    <row r="40" spans="1:10" x14ac:dyDescent="0.25">
      <c r="B40" s="299"/>
    </row>
    <row r="41" spans="1:10" ht="27" customHeight="1" x14ac:dyDescent="0.25">
      <c r="B41" s="353" t="s">
        <v>435</v>
      </c>
      <c r="C41" s="353"/>
      <c r="H41" s="375" t="s">
        <v>569</v>
      </c>
      <c r="I41" s="375"/>
    </row>
  </sheetData>
  <mergeCells count="20">
    <mergeCell ref="A30:D30"/>
    <mergeCell ref="A32:J32"/>
    <mergeCell ref="H36:I36"/>
    <mergeCell ref="G1:I1"/>
    <mergeCell ref="G2:I2"/>
    <mergeCell ref="A3:J3"/>
    <mergeCell ref="A5:I5"/>
    <mergeCell ref="A8:A9"/>
    <mergeCell ref="B8:B9"/>
    <mergeCell ref="C8:C9"/>
    <mergeCell ref="D8:D9"/>
    <mergeCell ref="E8:G8"/>
    <mergeCell ref="H8:H9"/>
    <mergeCell ref="I8:I9"/>
    <mergeCell ref="H35:I35"/>
    <mergeCell ref="F35:G35"/>
    <mergeCell ref="F36:G36"/>
    <mergeCell ref="D35:E35"/>
    <mergeCell ref="B41:C41"/>
    <mergeCell ref="H41:I41"/>
  </mergeCells>
  <pageMargins left="0" right="0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workbookViewId="0">
      <selection activeCell="F49" sqref="F49"/>
    </sheetView>
  </sheetViews>
  <sheetFormatPr defaultRowHeight="15" x14ac:dyDescent="0.25"/>
  <cols>
    <col min="1" max="1" width="9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363" t="s">
        <v>565</v>
      </c>
      <c r="F1" s="363"/>
      <c r="G1" s="68"/>
    </row>
    <row r="2" spans="1:14" x14ac:dyDescent="0.25">
      <c r="E2" s="110"/>
      <c r="F2" s="139"/>
      <c r="G2" s="110"/>
    </row>
    <row r="3" spans="1:14" x14ac:dyDescent="0.25">
      <c r="E3" s="127"/>
      <c r="F3" s="127"/>
    </row>
    <row r="4" spans="1:14" ht="15.75" x14ac:dyDescent="0.25">
      <c r="A4" s="383" t="s">
        <v>342</v>
      </c>
      <c r="B4" s="383"/>
      <c r="C4" s="383"/>
      <c r="D4" s="383"/>
      <c r="E4" s="383"/>
    </row>
    <row r="6" spans="1:14" x14ac:dyDescent="0.25">
      <c r="F6" s="139" t="s">
        <v>351</v>
      </c>
    </row>
    <row r="7" spans="1:14" ht="21.75" customHeight="1" x14ac:dyDescent="0.25">
      <c r="A7" s="384" t="s">
        <v>136</v>
      </c>
      <c r="B7" s="384" t="s">
        <v>322</v>
      </c>
      <c r="C7" s="348" t="s">
        <v>323</v>
      </c>
      <c r="D7" s="348"/>
      <c r="E7" s="348"/>
      <c r="F7" s="348"/>
      <c r="G7" s="64"/>
      <c r="H7" s="64"/>
      <c r="I7" s="64"/>
      <c r="J7" s="64"/>
      <c r="K7" s="64"/>
      <c r="L7" s="64"/>
      <c r="M7" s="64"/>
      <c r="N7" s="64"/>
    </row>
    <row r="8" spans="1:14" ht="24" customHeight="1" x14ac:dyDescent="0.25">
      <c r="A8" s="385"/>
      <c r="B8" s="385"/>
      <c r="C8" s="348" t="s">
        <v>246</v>
      </c>
      <c r="D8" s="348"/>
      <c r="E8" s="348" t="s">
        <v>247</v>
      </c>
      <c r="F8" s="348"/>
      <c r="G8" s="64"/>
      <c r="H8" s="64"/>
      <c r="I8" s="64"/>
      <c r="J8" s="64"/>
      <c r="K8" s="64"/>
      <c r="L8" s="64"/>
      <c r="M8" s="64"/>
      <c r="N8" s="64"/>
    </row>
    <row r="9" spans="1:14" ht="36" customHeight="1" x14ac:dyDescent="0.25">
      <c r="A9" s="386"/>
      <c r="B9" s="386"/>
      <c r="C9" s="66" t="s">
        <v>340</v>
      </c>
      <c r="D9" s="66" t="s">
        <v>341</v>
      </c>
      <c r="E9" s="66" t="s">
        <v>340</v>
      </c>
      <c r="F9" s="66" t="s">
        <v>341</v>
      </c>
      <c r="G9" s="64"/>
      <c r="H9" s="64"/>
      <c r="I9" s="64"/>
      <c r="J9" s="64"/>
      <c r="K9" s="64"/>
      <c r="L9" s="64"/>
      <c r="M9" s="64"/>
      <c r="N9" s="64"/>
    </row>
    <row r="10" spans="1:14" x14ac:dyDescent="0.25">
      <c r="A10" s="66">
        <v>1</v>
      </c>
      <c r="B10" s="66">
        <v>2</v>
      </c>
      <c r="C10" s="66"/>
      <c r="D10" s="66"/>
      <c r="E10" s="66"/>
      <c r="F10" s="66"/>
      <c r="G10" s="64"/>
      <c r="H10" s="64"/>
      <c r="I10" s="64"/>
      <c r="J10" s="64"/>
      <c r="K10" s="64"/>
      <c r="L10" s="64"/>
      <c r="M10" s="64"/>
      <c r="N10" s="64"/>
    </row>
    <row r="11" spans="1:14" ht="25.5" x14ac:dyDescent="0.25">
      <c r="A11" s="66">
        <v>1</v>
      </c>
      <c r="B11" s="66" t="s">
        <v>472</v>
      </c>
      <c r="C11" s="66">
        <v>54.71</v>
      </c>
      <c r="D11" s="66">
        <v>52.41</v>
      </c>
      <c r="E11" s="66">
        <v>54.74</v>
      </c>
      <c r="F11" s="66">
        <v>52.41</v>
      </c>
      <c r="G11" s="64"/>
      <c r="H11" s="64"/>
      <c r="I11" s="64"/>
      <c r="J11" s="64"/>
      <c r="K11" s="64"/>
      <c r="L11" s="64"/>
      <c r="M11" s="64"/>
      <c r="N11" s="64"/>
    </row>
    <row r="12" spans="1:14" ht="25.5" x14ac:dyDescent="0.25">
      <c r="A12" s="66">
        <v>2</v>
      </c>
      <c r="B12" s="66" t="s">
        <v>473</v>
      </c>
      <c r="C12" s="66">
        <v>45.22</v>
      </c>
      <c r="D12" s="66">
        <v>47.52</v>
      </c>
      <c r="E12" s="66">
        <v>45.26</v>
      </c>
      <c r="F12" s="66">
        <v>47.54</v>
      </c>
      <c r="G12" s="64"/>
      <c r="H12" s="64"/>
      <c r="I12" s="64"/>
      <c r="J12" s="64"/>
      <c r="K12" s="64"/>
      <c r="L12" s="64"/>
      <c r="M12" s="64"/>
      <c r="N12" s="64"/>
    </row>
    <row r="13" spans="1:14" x14ac:dyDescent="0.25">
      <c r="A13" s="66">
        <v>3</v>
      </c>
      <c r="B13" s="66" t="s">
        <v>496</v>
      </c>
      <c r="C13" s="66">
        <v>7.0000000000000007E-2</v>
      </c>
      <c r="D13" s="66">
        <v>7.0000000000000007E-2</v>
      </c>
      <c r="E13" s="66">
        <v>0.05</v>
      </c>
      <c r="F13" s="66">
        <v>0.05</v>
      </c>
      <c r="G13" s="64"/>
      <c r="H13" s="64"/>
      <c r="I13" s="64"/>
      <c r="J13" s="64"/>
      <c r="K13" s="64"/>
      <c r="L13" s="64"/>
      <c r="M13" s="64"/>
      <c r="N13" s="64"/>
    </row>
    <row r="14" spans="1:14" ht="15.75" x14ac:dyDescent="0.25">
      <c r="A14" s="66"/>
      <c r="B14" s="66"/>
      <c r="C14" s="66" t="s">
        <v>248</v>
      </c>
      <c r="D14" s="66" t="s">
        <v>248</v>
      </c>
      <c r="E14" s="66" t="s">
        <v>248</v>
      </c>
      <c r="F14" s="66" t="s">
        <v>248</v>
      </c>
      <c r="G14" s="105"/>
      <c r="H14" s="105"/>
      <c r="I14" s="105"/>
      <c r="J14" s="105"/>
      <c r="K14" s="64"/>
      <c r="L14" s="64"/>
      <c r="M14" s="64"/>
      <c r="N14" s="64"/>
    </row>
    <row r="15" spans="1:14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x14ac:dyDescent="0.25">
      <c r="A16" s="64"/>
      <c r="B16" s="5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15" customHeight="1" x14ac:dyDescent="0.25">
      <c r="A17" s="64"/>
      <c r="B17" s="397" t="s">
        <v>487</v>
      </c>
      <c r="C17" s="397"/>
      <c r="D17" s="64"/>
      <c r="E17" s="361" t="s">
        <v>488</v>
      </c>
      <c r="F17" s="361"/>
      <c r="G17" s="64"/>
      <c r="H17" s="398"/>
      <c r="I17" s="398"/>
      <c r="J17" s="64"/>
      <c r="K17" s="64"/>
      <c r="L17" s="64"/>
      <c r="M17" s="64"/>
      <c r="N17" s="64"/>
    </row>
    <row r="18" spans="1:14" x14ac:dyDescent="0.25">
      <c r="A18" s="64"/>
      <c r="B18" s="2" t="s">
        <v>154</v>
      </c>
      <c r="C18" s="64"/>
      <c r="D18" s="1" t="s">
        <v>155</v>
      </c>
      <c r="E18" s="1"/>
      <c r="F18" s="113" t="s">
        <v>132</v>
      </c>
      <c r="G18" s="1"/>
      <c r="H18" s="64"/>
      <c r="I18" s="64"/>
      <c r="J18" s="64"/>
      <c r="K18" s="64"/>
      <c r="L18" s="64"/>
      <c r="M18" s="64"/>
      <c r="N18" s="64"/>
    </row>
    <row r="19" spans="1:14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ht="15.75" x14ac:dyDescent="0.25">
      <c r="A20" s="390" t="s">
        <v>373</v>
      </c>
      <c r="B20" s="390"/>
      <c r="C20" s="390"/>
      <c r="D20" s="390"/>
      <c r="E20" s="390"/>
      <c r="F20" s="390"/>
      <c r="G20" s="390"/>
      <c r="H20" s="390"/>
      <c r="I20" s="390"/>
      <c r="J20" s="390"/>
      <c r="K20" s="64"/>
      <c r="L20" s="64"/>
      <c r="M20" s="64"/>
      <c r="N20" s="64"/>
    </row>
    <row r="21" spans="1:14" ht="15.75" x14ac:dyDescent="0.2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64"/>
      <c r="L21" s="64"/>
      <c r="M21" s="64"/>
      <c r="N21" s="64"/>
    </row>
    <row r="22" spans="1:14" ht="15.75" x14ac:dyDescent="0.25">
      <c r="A22" s="391" t="s">
        <v>371</v>
      </c>
      <c r="B22" s="391"/>
      <c r="C22" s="74"/>
      <c r="D22" s="74"/>
      <c r="E22" s="74"/>
      <c r="F22" s="74"/>
      <c r="G22" s="74"/>
      <c r="H22" s="387" t="s">
        <v>374</v>
      </c>
      <c r="I22" s="387"/>
      <c r="J22" s="387"/>
    </row>
    <row r="23" spans="1:14" ht="25.5" customHeight="1" x14ac:dyDescent="0.25">
      <c r="A23" s="66" t="s">
        <v>136</v>
      </c>
      <c r="B23" s="66" t="s">
        <v>359</v>
      </c>
      <c r="C23" s="66" t="s">
        <v>360</v>
      </c>
      <c r="D23" s="20" t="s">
        <v>566</v>
      </c>
      <c r="E23" s="20" t="s">
        <v>555</v>
      </c>
      <c r="F23" s="20" t="s">
        <v>26</v>
      </c>
      <c r="G23" s="61" t="s">
        <v>361</v>
      </c>
      <c r="H23" s="61" t="s">
        <v>362</v>
      </c>
      <c r="I23" s="61" t="s">
        <v>363</v>
      </c>
      <c r="J23" s="61" t="s">
        <v>364</v>
      </c>
    </row>
    <row r="24" spans="1:14" x14ac:dyDescent="0.25">
      <c r="A24" s="66">
        <v>1</v>
      </c>
      <c r="B24" s="66">
        <v>2</v>
      </c>
      <c r="C24" s="66">
        <v>3</v>
      </c>
      <c r="D24" s="20">
        <v>4</v>
      </c>
      <c r="E24" s="20">
        <v>5</v>
      </c>
      <c r="F24" s="20">
        <v>6</v>
      </c>
      <c r="G24" s="66">
        <v>7</v>
      </c>
      <c r="H24" s="66">
        <v>8</v>
      </c>
      <c r="I24" s="66">
        <v>9</v>
      </c>
      <c r="J24" s="32">
        <v>10</v>
      </c>
    </row>
    <row r="25" spans="1:14" ht="25.5" x14ac:dyDescent="0.25">
      <c r="A25" s="66">
        <v>1</v>
      </c>
      <c r="B25" s="86" t="s">
        <v>365</v>
      </c>
      <c r="C25" s="66" t="s">
        <v>368</v>
      </c>
      <c r="D25" s="66">
        <v>1849.87</v>
      </c>
      <c r="E25" s="66">
        <v>2142.48</v>
      </c>
      <c r="F25" s="66">
        <v>2142.48</v>
      </c>
      <c r="G25" s="66">
        <f>F25/4</f>
        <v>535.62</v>
      </c>
      <c r="H25" s="66">
        <f>F25/4</f>
        <v>535.62</v>
      </c>
      <c r="I25" s="66">
        <f>F25/4</f>
        <v>535.62</v>
      </c>
      <c r="J25" s="66">
        <f>F25/4</f>
        <v>535.62</v>
      </c>
    </row>
    <row r="26" spans="1:14" ht="38.25" x14ac:dyDescent="0.25">
      <c r="A26" s="66">
        <v>2</v>
      </c>
      <c r="B26" s="86" t="s">
        <v>366</v>
      </c>
      <c r="C26" s="66" t="s">
        <v>368</v>
      </c>
      <c r="D26" s="66">
        <v>82.6</v>
      </c>
      <c r="E26" s="66">
        <v>96.5</v>
      </c>
      <c r="F26" s="66">
        <v>42.86</v>
      </c>
      <c r="G26" s="91">
        <f>F26/4</f>
        <v>10.715</v>
      </c>
      <c r="H26" s="91">
        <f>F26/4</f>
        <v>10.715</v>
      </c>
      <c r="I26" s="66">
        <v>10.72</v>
      </c>
      <c r="J26" s="66">
        <v>10.72</v>
      </c>
    </row>
    <row r="27" spans="1:14" x14ac:dyDescent="0.25">
      <c r="A27" s="66">
        <v>3</v>
      </c>
      <c r="B27" s="86" t="s">
        <v>367</v>
      </c>
      <c r="C27" s="66" t="s">
        <v>368</v>
      </c>
      <c r="D27" s="66">
        <f t="shared" ref="D27:J27" si="0">D25+D26</f>
        <v>1932.4699999999998</v>
      </c>
      <c r="E27" s="66">
        <f t="shared" si="0"/>
        <v>2238.98</v>
      </c>
      <c r="F27" s="66">
        <f t="shared" si="0"/>
        <v>2185.34</v>
      </c>
      <c r="G27" s="91">
        <f t="shared" si="0"/>
        <v>546.33500000000004</v>
      </c>
      <c r="H27" s="91">
        <f t="shared" si="0"/>
        <v>546.33500000000004</v>
      </c>
      <c r="I27" s="91">
        <f t="shared" si="0"/>
        <v>546.34</v>
      </c>
      <c r="J27" s="91">
        <f t="shared" si="0"/>
        <v>546.34</v>
      </c>
    </row>
    <row r="28" spans="1:14" x14ac:dyDescent="0.25">
      <c r="A28" s="66">
        <v>4</v>
      </c>
      <c r="B28" s="66"/>
      <c r="C28" s="66"/>
      <c r="D28" s="66"/>
      <c r="E28" s="66"/>
      <c r="F28" s="66"/>
      <c r="G28" s="66"/>
      <c r="H28" s="66"/>
      <c r="I28" s="66"/>
      <c r="J28" s="32"/>
    </row>
    <row r="29" spans="1:14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77"/>
    </row>
    <row r="30" spans="1:14" x14ac:dyDescent="0.25">
      <c r="A30" s="87"/>
      <c r="B30" s="90" t="s">
        <v>487</v>
      </c>
      <c r="C30" s="64"/>
      <c r="D30" s="102"/>
      <c r="E30" s="89"/>
      <c r="F30" s="111" t="s">
        <v>531</v>
      </c>
      <c r="G30" s="87"/>
      <c r="H30" s="87"/>
      <c r="I30" s="87"/>
      <c r="J30" s="77"/>
    </row>
    <row r="31" spans="1:14" x14ac:dyDescent="0.25">
      <c r="A31" s="87"/>
      <c r="B31" s="2" t="s">
        <v>154</v>
      </c>
      <c r="C31" s="64"/>
      <c r="D31" s="1" t="s">
        <v>155</v>
      </c>
      <c r="E31" s="1"/>
      <c r="F31" s="113" t="s">
        <v>132</v>
      </c>
      <c r="G31" s="87"/>
      <c r="H31" s="87"/>
      <c r="I31" s="87"/>
      <c r="J31" s="77"/>
    </row>
    <row r="32" spans="1:14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77"/>
    </row>
    <row r="33" spans="1:10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77"/>
    </row>
    <row r="34" spans="1:10" ht="15.75" x14ac:dyDescent="0.25">
      <c r="A34" s="392" t="s">
        <v>372</v>
      </c>
      <c r="B34" s="392"/>
      <c r="C34" s="87"/>
      <c r="D34" s="87"/>
      <c r="E34" s="87"/>
      <c r="F34" s="87"/>
      <c r="G34" s="87"/>
      <c r="H34" s="388" t="s">
        <v>375</v>
      </c>
      <c r="I34" s="388"/>
      <c r="J34" s="388"/>
    </row>
    <row r="35" spans="1:10" ht="25.5" x14ac:dyDescent="0.25">
      <c r="A35" s="66" t="s">
        <v>136</v>
      </c>
      <c r="B35" s="66" t="s">
        <v>359</v>
      </c>
      <c r="C35" s="66" t="s">
        <v>360</v>
      </c>
      <c r="D35" s="20" t="s">
        <v>566</v>
      </c>
      <c r="E35" s="20" t="s">
        <v>555</v>
      </c>
      <c r="F35" s="20" t="s">
        <v>26</v>
      </c>
      <c r="G35" s="61" t="s">
        <v>361</v>
      </c>
      <c r="H35" s="61" t="s">
        <v>362</v>
      </c>
      <c r="I35" s="61" t="s">
        <v>363</v>
      </c>
      <c r="J35" s="61" t="s">
        <v>364</v>
      </c>
    </row>
    <row r="36" spans="1:10" x14ac:dyDescent="0.25">
      <c r="A36" s="66">
        <v>1</v>
      </c>
      <c r="B36" s="66">
        <v>2</v>
      </c>
      <c r="C36" s="66">
        <v>3</v>
      </c>
      <c r="D36" s="20">
        <v>4</v>
      </c>
      <c r="E36" s="20">
        <v>5</v>
      </c>
      <c r="F36" s="20">
        <v>6</v>
      </c>
      <c r="G36" s="66">
        <v>7</v>
      </c>
      <c r="H36" s="66">
        <v>8</v>
      </c>
      <c r="I36" s="66">
        <v>9</v>
      </c>
      <c r="J36" s="32">
        <v>10</v>
      </c>
    </row>
    <row r="37" spans="1:10" ht="25.5" x14ac:dyDescent="0.25">
      <c r="A37" s="66">
        <v>1</v>
      </c>
      <c r="B37" s="86" t="s">
        <v>369</v>
      </c>
      <c r="C37" s="66" t="s">
        <v>368</v>
      </c>
      <c r="D37" s="66">
        <v>1304.3499999999999</v>
      </c>
      <c r="E37" s="66">
        <v>1480.73</v>
      </c>
      <c r="F37" s="66">
        <v>1480.73</v>
      </c>
      <c r="G37" s="91">
        <f>F37/4</f>
        <v>370.1825</v>
      </c>
      <c r="H37" s="91">
        <f>F37/4</f>
        <v>370.1825</v>
      </c>
      <c r="I37" s="91">
        <f>F37/4</f>
        <v>370.1825</v>
      </c>
      <c r="J37" s="91">
        <f>F37/4</f>
        <v>370.1825</v>
      </c>
    </row>
    <row r="38" spans="1:10" x14ac:dyDescent="0.25">
      <c r="A38" s="66">
        <v>2</v>
      </c>
      <c r="B38" s="86" t="s">
        <v>370</v>
      </c>
      <c r="C38" s="66" t="s">
        <v>368</v>
      </c>
      <c r="D38" s="66">
        <v>1304.3499999999999</v>
      </c>
      <c r="E38" s="66">
        <v>1480.73</v>
      </c>
      <c r="F38" s="66">
        <v>1480.73</v>
      </c>
      <c r="G38" s="91">
        <f>F38/4</f>
        <v>370.1825</v>
      </c>
      <c r="H38" s="91">
        <f>F38/4</f>
        <v>370.1825</v>
      </c>
      <c r="I38" s="91">
        <f>F38/4</f>
        <v>370.1825</v>
      </c>
      <c r="J38" s="91">
        <f>F38/4</f>
        <v>370.1825</v>
      </c>
    </row>
    <row r="39" spans="1:10" x14ac:dyDescent="0.25">
      <c r="A39" s="87"/>
      <c r="B39" s="296"/>
      <c r="C39" s="87"/>
      <c r="D39" s="297"/>
      <c r="E39" s="87"/>
      <c r="F39" s="297"/>
      <c r="G39" s="298"/>
      <c r="H39" s="298"/>
      <c r="I39" s="298"/>
      <c r="J39" s="298"/>
    </row>
    <row r="40" spans="1:10" x14ac:dyDescent="0.25">
      <c r="A40" s="87"/>
      <c r="B40" s="90" t="s">
        <v>487</v>
      </c>
      <c r="C40" s="64"/>
      <c r="D40" s="102"/>
      <c r="E40" s="89"/>
      <c r="F40" s="111" t="s">
        <v>531</v>
      </c>
      <c r="G40" s="87"/>
      <c r="H40" s="87"/>
      <c r="I40" s="87"/>
      <c r="J40" s="77"/>
    </row>
    <row r="41" spans="1:10" ht="14.25" customHeight="1" x14ac:dyDescent="0.25">
      <c r="A41" s="87"/>
      <c r="B41" s="2" t="s">
        <v>154</v>
      </c>
      <c r="C41" s="64"/>
      <c r="D41" s="1" t="s">
        <v>155</v>
      </c>
      <c r="E41" s="1"/>
      <c r="F41" s="113" t="s">
        <v>132</v>
      </c>
      <c r="G41" s="87"/>
      <c r="H41" s="87"/>
      <c r="I41" s="87"/>
      <c r="J41" s="68"/>
    </row>
    <row r="42" spans="1:10" ht="13.5" customHeight="1" x14ac:dyDescent="0.25">
      <c r="A42" s="87"/>
      <c r="B42" s="2"/>
      <c r="C42" s="64"/>
      <c r="D42" s="1"/>
      <c r="E42" s="1"/>
      <c r="F42" s="2"/>
      <c r="G42" s="87"/>
      <c r="H42" s="87"/>
      <c r="I42" s="87"/>
      <c r="J42" s="68"/>
    </row>
    <row r="43" spans="1:10" x14ac:dyDescent="0.25">
      <c r="A43" s="295" t="s">
        <v>133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ht="15.75" customHeight="1" x14ac:dyDescent="0.25">
      <c r="A44" s="393" t="s">
        <v>532</v>
      </c>
      <c r="B44" s="394"/>
      <c r="C44" s="393"/>
      <c r="D44" s="394"/>
      <c r="E44" s="393"/>
      <c r="F44" s="394"/>
      <c r="G44" s="393"/>
      <c r="H44" s="394"/>
      <c r="I44" s="393"/>
      <c r="J44" s="394"/>
    </row>
    <row r="45" spans="1:10" x14ac:dyDescent="0.25">
      <c r="A45" s="87"/>
      <c r="B45" s="87"/>
      <c r="C45" s="87"/>
      <c r="D45" s="18"/>
      <c r="E45" s="18"/>
      <c r="F45" s="18"/>
      <c r="G45" s="266"/>
      <c r="H45" s="266"/>
      <c r="I45" s="266"/>
      <c r="J45" s="266"/>
    </row>
    <row r="46" spans="1:10" x14ac:dyDescent="0.25">
      <c r="A46" s="87"/>
      <c r="B46" s="395"/>
      <c r="C46" s="396"/>
      <c r="D46" s="396"/>
      <c r="E46" s="396"/>
      <c r="F46" s="396"/>
      <c r="G46" s="396"/>
      <c r="H46" s="396"/>
      <c r="I46" s="396"/>
      <c r="J46" s="266"/>
    </row>
    <row r="47" spans="1:10" ht="15" customHeight="1" x14ac:dyDescent="0.25">
      <c r="A47" s="87"/>
      <c r="B47" s="353" t="s">
        <v>435</v>
      </c>
      <c r="C47" s="353"/>
      <c r="H47" s="375" t="s">
        <v>569</v>
      </c>
      <c r="I47" s="375"/>
      <c r="J47" s="77"/>
    </row>
    <row r="48" spans="1:10" x14ac:dyDescent="0.25">
      <c r="A48" s="87"/>
      <c r="B48" s="104"/>
      <c r="C48" s="87"/>
      <c r="D48" s="87"/>
      <c r="E48" s="87"/>
      <c r="F48" s="87"/>
      <c r="G48" s="87"/>
      <c r="H48" s="87"/>
      <c r="I48" s="87"/>
      <c r="J48" s="68"/>
    </row>
    <row r="49" spans="1:10" ht="21" customHeight="1" x14ac:dyDescent="0.25">
      <c r="A49" s="267"/>
      <c r="B49" s="268"/>
      <c r="C49" s="87"/>
      <c r="D49" s="87"/>
      <c r="E49" s="87"/>
      <c r="F49" s="87"/>
      <c r="G49" s="87"/>
      <c r="H49" s="87"/>
      <c r="I49" s="87"/>
      <c r="J49" s="68"/>
    </row>
    <row r="50" spans="1:10" ht="16.5" customHeight="1" x14ac:dyDescent="0.25">
      <c r="A50" s="87"/>
      <c r="B50" s="268"/>
      <c r="C50" s="87"/>
      <c r="D50" s="87"/>
      <c r="E50" s="87"/>
      <c r="F50" s="87"/>
      <c r="G50" s="87"/>
      <c r="H50" s="87"/>
      <c r="I50" s="87"/>
      <c r="J50" s="68"/>
    </row>
    <row r="51" spans="1:10" ht="27.75" customHeight="1" x14ac:dyDescent="0.25">
      <c r="A51" s="87"/>
      <c r="B51" s="268"/>
      <c r="C51" s="87"/>
      <c r="D51" s="87"/>
      <c r="E51" s="87"/>
      <c r="F51" s="87"/>
      <c r="G51" s="87"/>
      <c r="H51" s="87"/>
      <c r="I51" s="87"/>
      <c r="J51" s="68"/>
    </row>
    <row r="52" spans="1:10" x14ac:dyDescent="0.25">
      <c r="A52" s="87"/>
      <c r="B52" s="57"/>
      <c r="C52" s="64"/>
      <c r="D52" s="89"/>
      <c r="E52" s="89"/>
      <c r="F52" s="269"/>
      <c r="G52" s="87"/>
      <c r="H52" s="87"/>
      <c r="I52" s="87"/>
      <c r="J52" s="68"/>
    </row>
    <row r="53" spans="1:10" x14ac:dyDescent="0.25">
      <c r="A53" s="87"/>
      <c r="B53" s="2"/>
      <c r="C53" s="64"/>
      <c r="D53" s="1"/>
      <c r="E53" s="1"/>
      <c r="F53" s="2"/>
      <c r="G53" s="87"/>
      <c r="H53" s="87"/>
      <c r="I53" s="87"/>
      <c r="J53" s="68"/>
    </row>
    <row r="54" spans="1:10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68"/>
    </row>
    <row r="55" spans="1:10" ht="15.75" x14ac:dyDescent="0.25">
      <c r="A55" s="382"/>
      <c r="B55" s="382"/>
      <c r="C55" s="87"/>
      <c r="D55" s="87"/>
      <c r="E55" s="87"/>
      <c r="F55" s="87"/>
      <c r="G55" s="87"/>
      <c r="H55" s="389"/>
      <c r="I55" s="389"/>
      <c r="J55" s="389"/>
    </row>
    <row r="56" spans="1:10" x14ac:dyDescent="0.25">
      <c r="A56" s="87"/>
      <c r="B56" s="87"/>
      <c r="C56" s="87"/>
      <c r="D56" s="18"/>
      <c r="E56" s="18"/>
      <c r="F56" s="18"/>
      <c r="G56" s="266"/>
      <c r="H56" s="266"/>
      <c r="I56" s="266"/>
      <c r="J56" s="266"/>
    </row>
    <row r="57" spans="1:10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77"/>
    </row>
    <row r="58" spans="1:10" x14ac:dyDescent="0.25">
      <c r="A58" s="87"/>
      <c r="B58" s="104"/>
      <c r="C58" s="87"/>
      <c r="D58" s="87"/>
      <c r="E58" s="87"/>
      <c r="F58" s="87"/>
      <c r="G58" s="87"/>
      <c r="H58" s="87"/>
      <c r="I58" s="87"/>
      <c r="J58" s="68"/>
    </row>
    <row r="59" spans="1:10" x14ac:dyDescent="0.25">
      <c r="A59" s="87"/>
      <c r="B59" s="268"/>
      <c r="C59" s="87"/>
      <c r="D59" s="87"/>
      <c r="E59" s="87"/>
      <c r="F59" s="87"/>
      <c r="G59" s="87"/>
      <c r="H59" s="87"/>
      <c r="I59" s="87"/>
      <c r="J59" s="68"/>
    </row>
    <row r="60" spans="1:10" x14ac:dyDescent="0.25">
      <c r="A60" s="87"/>
      <c r="B60" s="268"/>
      <c r="C60" s="87"/>
      <c r="D60" s="87"/>
      <c r="E60" s="87"/>
      <c r="F60" s="87"/>
      <c r="G60" s="87"/>
      <c r="H60" s="87"/>
      <c r="I60" s="87"/>
      <c r="J60" s="68"/>
    </row>
    <row r="61" spans="1:10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68"/>
    </row>
    <row r="62" spans="1:10" x14ac:dyDescent="0.25">
      <c r="A62" s="87"/>
      <c r="B62" s="57"/>
      <c r="C62" s="64"/>
      <c r="D62" s="89"/>
      <c r="E62" s="89"/>
      <c r="F62" s="269"/>
      <c r="G62" s="87"/>
      <c r="H62" s="87"/>
      <c r="I62" s="87"/>
      <c r="J62" s="68"/>
    </row>
    <row r="63" spans="1:10" x14ac:dyDescent="0.25">
      <c r="A63" s="87"/>
      <c r="B63" s="2"/>
      <c r="C63" s="64"/>
      <c r="D63" s="1"/>
      <c r="E63" s="1"/>
      <c r="F63" s="2"/>
      <c r="G63" s="87"/>
      <c r="H63" s="87"/>
      <c r="I63" s="87"/>
      <c r="J63" s="68"/>
    </row>
    <row r="64" spans="1:10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68"/>
    </row>
    <row r="65" spans="1:10" x14ac:dyDescent="0.25">
      <c r="A65" s="87"/>
      <c r="B65" s="104"/>
      <c r="C65" s="87"/>
      <c r="D65" s="87"/>
      <c r="E65" s="87"/>
      <c r="F65" s="87"/>
      <c r="G65" s="87"/>
      <c r="H65" s="87"/>
      <c r="I65" s="87"/>
      <c r="J65" s="68"/>
    </row>
    <row r="66" spans="1:10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68"/>
    </row>
    <row r="67" spans="1:10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68"/>
    </row>
    <row r="68" spans="1:10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68"/>
    </row>
    <row r="69" spans="1:10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68"/>
    </row>
    <row r="70" spans="1:10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68"/>
    </row>
    <row r="71" spans="1:10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68"/>
    </row>
    <row r="72" spans="1:10" x14ac:dyDescent="0.25">
      <c r="A72" s="64"/>
      <c r="B72" s="64"/>
      <c r="C72" s="64"/>
      <c r="D72" s="64"/>
      <c r="E72" s="64"/>
      <c r="F72" s="64"/>
      <c r="G72" s="64"/>
      <c r="H72" s="64"/>
      <c r="I72" s="64"/>
    </row>
    <row r="73" spans="1:10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10" x14ac:dyDescent="0.25">
      <c r="A74" s="64"/>
      <c r="B74" s="64"/>
      <c r="C74" s="64"/>
      <c r="D74" s="64"/>
      <c r="E74" s="64"/>
      <c r="F74" s="64"/>
      <c r="G74" s="64"/>
      <c r="H74" s="64"/>
      <c r="I74" s="64"/>
    </row>
    <row r="75" spans="1:10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10" x14ac:dyDescent="0.25">
      <c r="A76" s="64"/>
      <c r="B76" s="64"/>
      <c r="C76" s="64"/>
      <c r="D76" s="64"/>
      <c r="E76" s="64"/>
      <c r="F76" s="64"/>
      <c r="G76" s="64"/>
      <c r="H76" s="64"/>
      <c r="I76" s="64"/>
    </row>
    <row r="77" spans="1:10" x14ac:dyDescent="0.25">
      <c r="A77" s="64"/>
      <c r="B77" s="64"/>
      <c r="C77" s="64"/>
      <c r="D77" s="64"/>
      <c r="E77" s="64"/>
      <c r="F77" s="64"/>
      <c r="G77" s="64"/>
      <c r="H77" s="64"/>
      <c r="I77" s="64"/>
    </row>
  </sheetData>
  <mergeCells count="25">
    <mergeCell ref="B17:C17"/>
    <mergeCell ref="E17:F17"/>
    <mergeCell ref="H17:I17"/>
    <mergeCell ref="A55:B55"/>
    <mergeCell ref="H22:J22"/>
    <mergeCell ref="H34:J34"/>
    <mergeCell ref="H55:J55"/>
    <mergeCell ref="A20:J20"/>
    <mergeCell ref="A22:B22"/>
    <mergeCell ref="A34:B34"/>
    <mergeCell ref="A44:B44"/>
    <mergeCell ref="C44:D44"/>
    <mergeCell ref="E44:F44"/>
    <mergeCell ref="G44:H44"/>
    <mergeCell ref="I44:J44"/>
    <mergeCell ref="B46:I46"/>
    <mergeCell ref="B47:C47"/>
    <mergeCell ref="H47:I47"/>
    <mergeCell ref="A4:E4"/>
    <mergeCell ref="E1:F1"/>
    <mergeCell ref="C7:F7"/>
    <mergeCell ref="C8:D8"/>
    <mergeCell ref="E8:F8"/>
    <mergeCell ref="B7:B9"/>
    <mergeCell ref="A7:A9"/>
  </mergeCells>
  <pageMargins left="0" right="0" top="0" bottom="0" header="0.31496062992125984" footer="0.31496062992125984"/>
  <pageSetup paperSize="9"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workbookViewId="0">
      <selection activeCell="N4" sqref="N4"/>
    </sheetView>
  </sheetViews>
  <sheetFormatPr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64"/>
      <c r="B1" s="64"/>
      <c r="C1" s="64"/>
      <c r="D1" s="64"/>
      <c r="E1" s="64"/>
      <c r="F1" s="64"/>
      <c r="G1" s="64"/>
      <c r="H1" s="64"/>
      <c r="I1" s="64"/>
      <c r="J1" s="363" t="s">
        <v>567</v>
      </c>
      <c r="K1" s="363"/>
      <c r="L1" s="363"/>
      <c r="M1" s="64"/>
      <c r="N1" s="64"/>
      <c r="O1" s="64"/>
      <c r="P1" s="64"/>
    </row>
    <row r="2" spans="1:16" x14ac:dyDescent="0.25">
      <c r="A2" s="64"/>
      <c r="B2" s="64"/>
      <c r="C2" s="64"/>
      <c r="D2" s="64"/>
      <c r="E2" s="64"/>
      <c r="F2" s="64"/>
      <c r="G2" s="64"/>
      <c r="H2" s="64"/>
      <c r="I2" s="64"/>
      <c r="J2" s="373" t="s">
        <v>418</v>
      </c>
      <c r="K2" s="373"/>
      <c r="L2" s="373"/>
      <c r="M2" s="64"/>
      <c r="N2" s="64"/>
      <c r="O2" s="64"/>
      <c r="P2" s="64"/>
    </row>
    <row r="3" spans="1:16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8.75" customHeight="1" x14ac:dyDescent="0.25">
      <c r="A4" s="390" t="s">
        <v>343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64"/>
      <c r="N4" s="64"/>
      <c r="O4" s="64"/>
      <c r="P4" s="64"/>
    </row>
    <row r="5" spans="1:16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402" t="s">
        <v>350</v>
      </c>
      <c r="L5" s="402"/>
      <c r="M5" s="64"/>
      <c r="N5" s="64"/>
      <c r="O5" s="64"/>
      <c r="P5" s="64"/>
    </row>
    <row r="6" spans="1:16" x14ac:dyDescent="0.25">
      <c r="A6" s="348" t="s">
        <v>136</v>
      </c>
      <c r="B6" s="348" t="s">
        <v>344</v>
      </c>
      <c r="C6" s="348" t="s">
        <v>347</v>
      </c>
      <c r="D6" s="348"/>
      <c r="E6" s="348"/>
      <c r="F6" s="348"/>
      <c r="G6" s="348"/>
      <c r="H6" s="348"/>
      <c r="I6" s="348"/>
      <c r="J6" s="348"/>
      <c r="K6" s="348"/>
      <c r="L6" s="348"/>
      <c r="M6" s="64"/>
      <c r="N6" s="64"/>
      <c r="O6" s="64"/>
      <c r="P6" s="64"/>
    </row>
    <row r="7" spans="1:16" ht="27.75" customHeight="1" x14ac:dyDescent="0.25">
      <c r="A7" s="348"/>
      <c r="B7" s="348"/>
      <c r="C7" s="401" t="s">
        <v>82</v>
      </c>
      <c r="D7" s="401"/>
      <c r="E7" s="401" t="s">
        <v>348</v>
      </c>
      <c r="F7" s="401"/>
      <c r="G7" s="401" t="s">
        <v>349</v>
      </c>
      <c r="H7" s="401"/>
      <c r="I7" s="401" t="s">
        <v>48</v>
      </c>
      <c r="J7" s="401"/>
      <c r="K7" s="401" t="s">
        <v>78</v>
      </c>
      <c r="L7" s="401"/>
      <c r="M7" s="64"/>
      <c r="N7" s="64"/>
      <c r="O7" s="64"/>
      <c r="P7" s="64"/>
    </row>
    <row r="8" spans="1:16" ht="38.25" x14ac:dyDescent="0.25">
      <c r="A8" s="348"/>
      <c r="B8" s="348"/>
      <c r="C8" s="116" t="s">
        <v>345</v>
      </c>
      <c r="D8" s="116" t="s">
        <v>346</v>
      </c>
      <c r="E8" s="116" t="s">
        <v>345</v>
      </c>
      <c r="F8" s="116" t="s">
        <v>346</v>
      </c>
      <c r="G8" s="116" t="s">
        <v>345</v>
      </c>
      <c r="H8" s="116" t="s">
        <v>346</v>
      </c>
      <c r="I8" s="116" t="s">
        <v>345</v>
      </c>
      <c r="J8" s="116" t="s">
        <v>346</v>
      </c>
      <c r="K8" s="116" t="s">
        <v>345</v>
      </c>
      <c r="L8" s="116" t="s">
        <v>346</v>
      </c>
      <c r="M8" s="64"/>
      <c r="N8" s="64"/>
      <c r="O8" s="64"/>
      <c r="P8" s="64"/>
    </row>
    <row r="9" spans="1:16" x14ac:dyDescent="0.25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4"/>
      <c r="N9" s="64"/>
      <c r="O9" s="64"/>
      <c r="P9" s="64"/>
    </row>
    <row r="10" spans="1:16" x14ac:dyDescent="0.25">
      <c r="A10" s="66">
        <v>1</v>
      </c>
      <c r="B10" s="66" t="s">
        <v>471</v>
      </c>
      <c r="C10" s="92">
        <v>27366.9</v>
      </c>
      <c r="D10" s="92">
        <v>0</v>
      </c>
      <c r="E10" s="92">
        <v>6020.3</v>
      </c>
      <c r="F10" s="92">
        <f>D10*22%</f>
        <v>0</v>
      </c>
      <c r="G10" s="92">
        <v>4996.03</v>
      </c>
      <c r="H10" s="92">
        <v>601.9</v>
      </c>
      <c r="I10" s="92">
        <v>14513.32</v>
      </c>
      <c r="J10" s="92">
        <v>11453.2</v>
      </c>
      <c r="K10" s="92">
        <v>4122.8</v>
      </c>
      <c r="L10" s="92">
        <v>0</v>
      </c>
      <c r="M10" s="64"/>
      <c r="N10" s="64"/>
      <c r="O10" s="64"/>
      <c r="P10" s="64"/>
    </row>
    <row r="11" spans="1:16" x14ac:dyDescent="0.25">
      <c r="A11" s="66">
        <v>2</v>
      </c>
      <c r="B11" s="66" t="s">
        <v>470</v>
      </c>
      <c r="C11" s="92">
        <v>22391</v>
      </c>
      <c r="D11" s="92">
        <v>0</v>
      </c>
      <c r="E11" s="92">
        <v>4925.7</v>
      </c>
      <c r="F11" s="92">
        <f>D11*22%</f>
        <v>0</v>
      </c>
      <c r="G11" s="92">
        <v>4087.67</v>
      </c>
      <c r="H11" s="92">
        <v>492.48</v>
      </c>
      <c r="I11" s="92">
        <v>11874.53</v>
      </c>
      <c r="J11" s="92">
        <v>9370.7999999999993</v>
      </c>
      <c r="K11" s="92">
        <v>3373.2</v>
      </c>
      <c r="L11" s="92">
        <v>0</v>
      </c>
      <c r="M11" s="64"/>
      <c r="N11" s="64"/>
      <c r="O11" s="64"/>
      <c r="P11" s="64"/>
    </row>
    <row r="12" spans="1:16" x14ac:dyDescent="0.25">
      <c r="A12" s="66"/>
      <c r="B12" s="66" t="s">
        <v>142</v>
      </c>
      <c r="C12" s="92">
        <f>C10+C11</f>
        <v>49757.9</v>
      </c>
      <c r="D12" s="92">
        <v>0</v>
      </c>
      <c r="E12" s="92">
        <f t="shared" ref="E12:K12" si="0">E10+E11</f>
        <v>10946</v>
      </c>
      <c r="F12" s="92">
        <f t="shared" si="0"/>
        <v>0</v>
      </c>
      <c r="G12" s="92">
        <f t="shared" si="0"/>
        <v>9083.7000000000007</v>
      </c>
      <c r="H12" s="92">
        <f t="shared" si="0"/>
        <v>1094.3800000000001</v>
      </c>
      <c r="I12" s="92">
        <f t="shared" si="0"/>
        <v>26387.85</v>
      </c>
      <c r="J12" s="92">
        <f t="shared" si="0"/>
        <v>20824</v>
      </c>
      <c r="K12" s="92">
        <f t="shared" si="0"/>
        <v>7496</v>
      </c>
      <c r="L12" s="92">
        <v>0</v>
      </c>
      <c r="M12" s="64"/>
      <c r="N12" s="64"/>
      <c r="O12" s="64"/>
      <c r="P12" s="64"/>
    </row>
    <row r="13" spans="1:16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x14ac:dyDescent="0.25">
      <c r="A15" s="64"/>
      <c r="B15" s="64"/>
      <c r="C15" s="397" t="s">
        <v>487</v>
      </c>
      <c r="D15" s="397"/>
      <c r="E15" s="64"/>
      <c r="F15" s="361"/>
      <c r="G15" s="361"/>
      <c r="H15" s="64"/>
      <c r="I15" s="374" t="s">
        <v>488</v>
      </c>
      <c r="J15" s="374"/>
      <c r="K15" s="64"/>
      <c r="L15" s="64"/>
      <c r="M15" s="64"/>
      <c r="N15" s="64"/>
      <c r="O15" s="64"/>
      <c r="P15" s="64"/>
    </row>
    <row r="16" spans="1:16" x14ac:dyDescent="0.25">
      <c r="A16" s="64"/>
      <c r="B16" s="64"/>
      <c r="C16" s="399" t="s">
        <v>154</v>
      </c>
      <c r="D16" s="399"/>
      <c r="E16" s="64"/>
      <c r="F16" s="399" t="s">
        <v>155</v>
      </c>
      <c r="G16" s="399"/>
      <c r="H16" s="64"/>
      <c r="I16" s="399" t="s">
        <v>132</v>
      </c>
      <c r="J16" s="399"/>
      <c r="K16" s="64"/>
      <c r="L16" s="64"/>
      <c r="M16" s="64"/>
      <c r="N16" s="64"/>
      <c r="O16" s="64"/>
      <c r="P16" s="64"/>
    </row>
    <row r="17" spans="1:1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x14ac:dyDescent="0.25">
      <c r="A18" s="64"/>
      <c r="B18" s="104" t="s">
        <v>133</v>
      </c>
      <c r="C18" s="10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ht="23.25" customHeight="1" x14ac:dyDescent="0.25">
      <c r="A19" s="64"/>
      <c r="B19" s="393" t="s">
        <v>532</v>
      </c>
      <c r="C19" s="39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ht="36.75" customHeight="1" x14ac:dyDescent="0.25">
      <c r="A21" s="64"/>
      <c r="B21" s="353" t="s">
        <v>435</v>
      </c>
      <c r="C21" s="353"/>
      <c r="D21" s="64"/>
      <c r="E21" s="64"/>
      <c r="F21" s="64"/>
      <c r="G21" s="64"/>
      <c r="H21" s="64"/>
      <c r="I21" s="400" t="s">
        <v>569</v>
      </c>
      <c r="J21" s="400"/>
      <c r="K21" s="64"/>
      <c r="L21" s="64"/>
      <c r="M21" s="64"/>
      <c r="N21" s="64"/>
      <c r="O21" s="64"/>
      <c r="P21" s="64"/>
    </row>
    <row r="22" spans="1:1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6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</sheetData>
  <mergeCells count="21">
    <mergeCell ref="J1:L1"/>
    <mergeCell ref="J2:L2"/>
    <mergeCell ref="C15:D15"/>
    <mergeCell ref="F15:G15"/>
    <mergeCell ref="I15:J15"/>
    <mergeCell ref="I7:J7"/>
    <mergeCell ref="K7:L7"/>
    <mergeCell ref="A4:L4"/>
    <mergeCell ref="A6:A8"/>
    <mergeCell ref="B6:B8"/>
    <mergeCell ref="C6:L6"/>
    <mergeCell ref="K5:L5"/>
    <mergeCell ref="C7:D7"/>
    <mergeCell ref="E7:F7"/>
    <mergeCell ref="G7:H7"/>
    <mergeCell ref="I16:J16"/>
    <mergeCell ref="F16:G16"/>
    <mergeCell ref="C16:D16"/>
    <mergeCell ref="B21:C21"/>
    <mergeCell ref="I21:J21"/>
    <mergeCell ref="B19:C19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Лист1</vt:lpstr>
      <vt:lpstr>ЗВІТ!</vt:lpstr>
      <vt:lpstr>'ЗВІТ!'!Область_печати</vt:lpstr>
      <vt:lpstr>'трудові ресурси'!Область_печати</vt:lpstr>
      <vt:lpstr>'фін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2024-01-09T13:36:15Z</cp:lastPrinted>
  <dcterms:created xsi:type="dcterms:W3CDTF">2021-11-03T09:40:18Z</dcterms:created>
  <dcterms:modified xsi:type="dcterms:W3CDTF">2024-01-10T08:11:27Z</dcterms:modified>
</cp:coreProperties>
</file>