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6585"/>
  </bookViews>
  <sheets>
    <sheet name="фін план" sheetId="1" r:id="rId1"/>
    <sheet name="Аркуш1" sheetId="14" r:id="rId2"/>
    <sheet name="кап інвестиції" sheetId="2" r:id="rId3"/>
    <sheet name="кап будівництво" sheetId="3" r:id="rId4"/>
    <sheet name="залучені кошти" sheetId="4" r:id="rId5"/>
    <sheet name="трудові ресурси" sheetId="5" r:id="rId6"/>
    <sheet name="майно" sheetId="6" r:id="rId7"/>
    <sheet name="транспорт" sheetId="7" r:id="rId8"/>
    <sheet name="бізнес" sheetId="8" r:id="rId9"/>
    <sheet name="структура операц витрат за КВЕД" sheetId="10" r:id="rId10"/>
    <sheet name="Пояснювальна записка" sheetId="13" r:id="rId11"/>
    <sheet name="ЗВІТ!" sheetId="12" r:id="rId12"/>
  </sheets>
  <calcPr calcId="162913"/>
</workbook>
</file>

<file path=xl/calcChain.xml><?xml version="1.0" encoding="utf-8"?>
<calcChain xmlns="http://schemas.openxmlformats.org/spreadsheetml/2006/main">
  <c r="I251" i="1" l="1"/>
  <c r="H251" i="1"/>
  <c r="G251" i="1"/>
  <c r="F251" i="1"/>
  <c r="K73" i="1"/>
  <c r="G268" i="1"/>
  <c r="G267" i="1"/>
  <c r="L237" i="1"/>
  <c r="E219" i="1"/>
  <c r="E217" i="1"/>
  <c r="E216" i="1"/>
  <c r="E215" i="1"/>
  <c r="E214" i="1"/>
  <c r="E213" i="1"/>
  <c r="E212" i="1"/>
  <c r="E210" i="1"/>
  <c r="E125" i="1"/>
  <c r="F134" i="1"/>
  <c r="K133" i="1"/>
  <c r="I133" i="1"/>
  <c r="H133" i="1"/>
  <c r="G133" i="1"/>
  <c r="F133" i="1"/>
  <c r="O134" i="1"/>
  <c r="R137" i="1"/>
  <c r="Q137" i="1"/>
  <c r="P137" i="1"/>
  <c r="N137" i="1"/>
  <c r="R134" i="1"/>
  <c r="Q134" i="1"/>
  <c r="P134" i="1"/>
  <c r="O133" i="1"/>
  <c r="K200" i="1"/>
  <c r="E209" i="1"/>
  <c r="N133" i="1" l="1"/>
  <c r="L142" i="1"/>
  <c r="L141" i="1"/>
  <c r="L139" i="1"/>
  <c r="E134" i="1"/>
  <c r="E133" i="1"/>
  <c r="E89" i="1"/>
  <c r="E128" i="1" l="1"/>
  <c r="M56" i="1"/>
  <c r="N56" i="1"/>
  <c r="N55" i="1"/>
  <c r="N54" i="1"/>
  <c r="N53" i="1"/>
  <c r="M53" i="1"/>
  <c r="L53" i="1"/>
  <c r="L52" i="1"/>
  <c r="L35" i="1"/>
  <c r="L175" i="1"/>
  <c r="E57" i="1" l="1"/>
  <c r="E52" i="1"/>
  <c r="E51" i="1" s="1"/>
  <c r="D57" i="1"/>
  <c r="D52" i="1"/>
  <c r="D51" i="1" s="1"/>
  <c r="C34" i="1" l="1"/>
  <c r="C36" i="1"/>
  <c r="C129" i="1"/>
  <c r="C124" i="1"/>
  <c r="C118" i="1"/>
  <c r="C98" i="1" s="1"/>
  <c r="C44" i="1" l="1"/>
  <c r="C57" i="1"/>
  <c r="C54" i="1"/>
  <c r="C35" i="1"/>
  <c r="E93" i="1" l="1"/>
  <c r="O115" i="1"/>
  <c r="O112" i="1"/>
  <c r="O111" i="1"/>
  <c r="O109" i="1"/>
  <c r="O108" i="1"/>
  <c r="O107" i="1"/>
  <c r="O106" i="1"/>
  <c r="O105" i="1"/>
  <c r="O104" i="1"/>
  <c r="O103" i="1"/>
  <c r="O102" i="1"/>
  <c r="E75" i="1"/>
  <c r="N114" i="1"/>
  <c r="M135" i="1" l="1"/>
  <c r="M134" i="1"/>
  <c r="M132" i="1"/>
  <c r="M125" i="1"/>
  <c r="E106" i="1"/>
  <c r="R106" i="1"/>
  <c r="E121" i="1"/>
  <c r="Q105" i="1"/>
  <c r="E77" i="1" l="1"/>
  <c r="E79" i="1"/>
  <c r="O116" i="1" l="1"/>
  <c r="N113" i="1"/>
  <c r="N110" i="1"/>
  <c r="N107" i="1"/>
  <c r="N106" i="1"/>
  <c r="N105" i="1"/>
  <c r="N104" i="1"/>
  <c r="N103" i="1"/>
  <c r="N102" i="1"/>
  <c r="L89" i="1" l="1"/>
  <c r="E82" i="1"/>
  <c r="L51" i="1"/>
  <c r="E43" i="1"/>
  <c r="E35" i="1"/>
  <c r="D75" i="1" l="1"/>
  <c r="I234" i="1" l="1"/>
  <c r="H234" i="1"/>
  <c r="G234" i="1"/>
  <c r="F234" i="1"/>
  <c r="C241" i="1"/>
  <c r="I243" i="1"/>
  <c r="H243" i="1"/>
  <c r="G243" i="1"/>
  <c r="F243" i="1"/>
  <c r="I244" i="1"/>
  <c r="H244" i="1"/>
  <c r="G244" i="1"/>
  <c r="F244" i="1"/>
  <c r="C243" i="1"/>
  <c r="I228" i="1"/>
  <c r="H228" i="1"/>
  <c r="G228" i="1"/>
  <c r="F228" i="1"/>
  <c r="I245" i="1"/>
  <c r="H245" i="1"/>
  <c r="G245" i="1"/>
  <c r="F245" i="1"/>
  <c r="E245" i="1" l="1"/>
  <c r="D223" i="1" l="1"/>
  <c r="D219" i="1"/>
  <c r="D225" i="1"/>
  <c r="D224" i="1"/>
  <c r="D222" i="1"/>
  <c r="D221" i="1"/>
  <c r="D220" i="1"/>
  <c r="D217" i="1" l="1"/>
  <c r="D226" i="1" s="1"/>
  <c r="C226" i="1" l="1"/>
  <c r="C225" i="1"/>
  <c r="C224" i="1"/>
  <c r="C223" i="1"/>
  <c r="C222" i="1"/>
  <c r="E225" i="1"/>
  <c r="E224" i="1"/>
  <c r="E223" i="1"/>
  <c r="E222" i="1"/>
  <c r="E221" i="1"/>
  <c r="C221" i="1"/>
  <c r="C220" i="1"/>
  <c r="E211" i="1" l="1"/>
  <c r="E220" i="1" s="1"/>
  <c r="C211" i="1"/>
  <c r="I202" i="1"/>
  <c r="H202" i="1"/>
  <c r="G202" i="1"/>
  <c r="F202" i="1"/>
  <c r="C208" i="1"/>
  <c r="C217" i="1"/>
  <c r="C219" i="1"/>
  <c r="E218" i="1"/>
  <c r="C218" i="1"/>
  <c r="E226" i="1" l="1"/>
  <c r="C200" i="1"/>
  <c r="C42" i="1" l="1"/>
  <c r="C83" i="1" l="1"/>
  <c r="C80" i="1"/>
  <c r="C82" i="1"/>
  <c r="F121" i="1" l="1"/>
  <c r="H121" i="1" s="1"/>
  <c r="I121" i="1" s="1"/>
  <c r="G121" i="1" l="1"/>
  <c r="D95" i="1"/>
  <c r="D141" i="1"/>
  <c r="D139" i="1" l="1"/>
  <c r="D126" i="1" l="1"/>
  <c r="D128" i="1" s="1"/>
  <c r="D142" i="1" s="1"/>
  <c r="D107" i="1"/>
  <c r="D90" i="1" l="1"/>
  <c r="D242" i="1" s="1"/>
  <c r="D241" i="1" s="1"/>
  <c r="D74" i="1"/>
  <c r="D73" i="1" l="1"/>
  <c r="D137" i="1"/>
  <c r="D144" i="1" s="1"/>
  <c r="C140" i="1"/>
  <c r="C59" i="1"/>
  <c r="C52" i="1" l="1"/>
  <c r="C174" i="1" s="1"/>
  <c r="C99" i="1"/>
  <c r="C144" i="1"/>
  <c r="G16" i="5" l="1"/>
  <c r="E44" i="1" l="1"/>
  <c r="E42" i="1" s="1"/>
  <c r="D82" i="1" l="1"/>
  <c r="I248" i="1" l="1"/>
  <c r="H248" i="1"/>
  <c r="G248" i="1"/>
  <c r="F248" i="1"/>
  <c r="E248" i="1"/>
  <c r="F253" i="1"/>
  <c r="G253" i="1" s="1"/>
  <c r="H253" i="1" s="1"/>
  <c r="I253" i="1" s="1"/>
  <c r="E243" i="1" l="1"/>
  <c r="E244" i="1"/>
  <c r="F225" i="1"/>
  <c r="G225" i="1" s="1"/>
  <c r="H225" i="1" s="1"/>
  <c r="I225" i="1" s="1"/>
  <c r="F218" i="1"/>
  <c r="G218" i="1" s="1"/>
  <c r="H218" i="1" s="1"/>
  <c r="I218" i="1" s="1"/>
  <c r="F224" i="1"/>
  <c r="G224" i="1" s="1"/>
  <c r="H224" i="1" s="1"/>
  <c r="I224" i="1" s="1"/>
  <c r="F223" i="1"/>
  <c r="G223" i="1" s="1"/>
  <c r="H223" i="1" s="1"/>
  <c r="I223" i="1" s="1"/>
  <c r="F222" i="1"/>
  <c r="G222" i="1" s="1"/>
  <c r="H222" i="1" s="1"/>
  <c r="I222" i="1" s="1"/>
  <c r="F221" i="1"/>
  <c r="G221" i="1" s="1"/>
  <c r="H221" i="1" s="1"/>
  <c r="I221" i="1" s="1"/>
  <c r="E202" i="1"/>
  <c r="F220" i="1" s="1"/>
  <c r="G220" i="1" s="1"/>
  <c r="H220" i="1" s="1"/>
  <c r="I220" i="1" s="1"/>
  <c r="F216" i="1" l="1"/>
  <c r="G216" i="1" s="1"/>
  <c r="H216" i="1" s="1"/>
  <c r="I216" i="1" s="1"/>
  <c r="I204" i="1"/>
  <c r="H204" i="1"/>
  <c r="G204" i="1"/>
  <c r="F204" i="1"/>
  <c r="G203" i="1"/>
  <c r="H203" i="1" s="1"/>
  <c r="I203" i="1" s="1"/>
  <c r="F203" i="1"/>
  <c r="F212" i="1"/>
  <c r="G212" i="1" s="1"/>
  <c r="H212" i="1" s="1"/>
  <c r="I212" i="1" s="1"/>
  <c r="F210" i="1"/>
  <c r="G210" i="1" s="1"/>
  <c r="H210" i="1" s="1"/>
  <c r="I210" i="1" s="1"/>
  <c r="F214" i="1"/>
  <c r="G214" i="1" s="1"/>
  <c r="H214" i="1" s="1"/>
  <c r="I214" i="1" s="1"/>
  <c r="F206" i="1"/>
  <c r="G206" i="1" s="1"/>
  <c r="F205" i="1"/>
  <c r="G205" i="1" s="1"/>
  <c r="H205" i="1" s="1"/>
  <c r="I205" i="1" s="1"/>
  <c r="F213" i="1"/>
  <c r="G213" i="1" s="1"/>
  <c r="H213" i="1" s="1"/>
  <c r="I213" i="1" s="1"/>
  <c r="G215" i="1"/>
  <c r="H215" i="1" s="1"/>
  <c r="I215" i="1" s="1"/>
  <c r="F215" i="1"/>
  <c r="F219" i="1"/>
  <c r="G219" i="1" s="1"/>
  <c r="H219" i="1" s="1"/>
  <c r="I219" i="1" s="1"/>
  <c r="F211" i="1"/>
  <c r="H211" i="1" s="1"/>
  <c r="I211" i="1" s="1"/>
  <c r="F209" i="1"/>
  <c r="F208" i="1"/>
  <c r="H208" i="1"/>
  <c r="G208" i="1"/>
  <c r="I207" i="1"/>
  <c r="H207" i="1"/>
  <c r="G207" i="1"/>
  <c r="F130" i="1"/>
  <c r="G130" i="1" s="1"/>
  <c r="H130" i="1" s="1"/>
  <c r="I130" i="1" s="1"/>
  <c r="E142" i="1"/>
  <c r="I142" i="1" s="1"/>
  <c r="F115" i="1"/>
  <c r="G115" i="1" s="1"/>
  <c r="I118" i="1"/>
  <c r="L15" i="5"/>
  <c r="N17" i="5"/>
  <c r="L12" i="5"/>
  <c r="I12" i="5"/>
  <c r="K15" i="5"/>
  <c r="G138" i="1"/>
  <c r="H138" i="1" s="1"/>
  <c r="I138" i="1" s="1"/>
  <c r="F138" i="1"/>
  <c r="I135" i="1"/>
  <c r="I242" i="1" s="1"/>
  <c r="I241" i="1" s="1"/>
  <c r="H135" i="1"/>
  <c r="H242" i="1" s="1"/>
  <c r="H241" i="1" s="1"/>
  <c r="G135" i="1"/>
  <c r="G242" i="1" s="1"/>
  <c r="G241" i="1" s="1"/>
  <c r="G134" i="1"/>
  <c r="H134" i="1" s="1"/>
  <c r="I134" i="1" s="1"/>
  <c r="E141" i="1"/>
  <c r="E136" i="1"/>
  <c r="E135" i="1"/>
  <c r="E242" i="1" s="1"/>
  <c r="E241" i="1" s="1"/>
  <c r="F136" i="1" l="1"/>
  <c r="G136" i="1" s="1"/>
  <c r="H136" i="1" s="1"/>
  <c r="I136" i="1" s="1"/>
  <c r="G142" i="1"/>
  <c r="F142" i="1"/>
  <c r="H115" i="1"/>
  <c r="I115" i="1" s="1"/>
  <c r="G139" i="1"/>
  <c r="G211" i="1"/>
  <c r="F217" i="1"/>
  <c r="G217" i="1" s="1"/>
  <c r="H217" i="1" s="1"/>
  <c r="I217" i="1" s="1"/>
  <c r="F226" i="1"/>
  <c r="G226" i="1" s="1"/>
  <c r="H226" i="1" s="1"/>
  <c r="I226" i="1" s="1"/>
  <c r="H142" i="1"/>
  <c r="F141" i="1"/>
  <c r="G141" i="1" s="1"/>
  <c r="H141" i="1" s="1"/>
  <c r="I141" i="1" s="1"/>
  <c r="I206" i="1"/>
  <c r="H206" i="1"/>
  <c r="F128" i="1"/>
  <c r="G128" i="1" s="1"/>
  <c r="F127" i="1"/>
  <c r="G127" i="1" s="1"/>
  <c r="H127" i="1" s="1"/>
  <c r="I127" i="1" s="1"/>
  <c r="H125" i="1"/>
  <c r="I125" i="1" s="1"/>
  <c r="F125" i="1"/>
  <c r="G125" i="1" s="1"/>
  <c r="F124" i="1"/>
  <c r="G124" i="1"/>
  <c r="I124" i="1"/>
  <c r="H124" i="1"/>
  <c r="H75" i="1"/>
  <c r="G75" i="1"/>
  <c r="F75" i="1"/>
  <c r="I75" i="1" s="1"/>
  <c r="I96" i="1"/>
  <c r="H96" i="1"/>
  <c r="G96" i="1"/>
  <c r="F96" i="1"/>
  <c r="E74" i="1"/>
  <c r="E137" i="1" s="1"/>
  <c r="E129" i="1"/>
  <c r="E99" i="1"/>
  <c r="H89" i="1"/>
  <c r="E126" i="1"/>
  <c r="F126" i="1" s="1"/>
  <c r="F111" i="1"/>
  <c r="G111" i="1" s="1"/>
  <c r="H111" i="1" s="1"/>
  <c r="I111" i="1" s="1"/>
  <c r="F94" i="1"/>
  <c r="G94" i="1" s="1"/>
  <c r="H94" i="1" s="1"/>
  <c r="I94" i="1" s="1"/>
  <c r="H93" i="1"/>
  <c r="F95" i="1"/>
  <c r="F120" i="1"/>
  <c r="G120" i="1" s="1"/>
  <c r="H120" i="1" s="1"/>
  <c r="I120" i="1" s="1"/>
  <c r="G113" i="1"/>
  <c r="I113" i="1" s="1"/>
  <c r="F113" i="1"/>
  <c r="F100" i="1"/>
  <c r="G100" i="1" s="1"/>
  <c r="H100" i="1" s="1"/>
  <c r="I100" i="1" s="1"/>
  <c r="F105" i="1"/>
  <c r="G105" i="1" s="1"/>
  <c r="I105" i="1" s="1"/>
  <c r="F104" i="1"/>
  <c r="G104" i="1" s="1"/>
  <c r="H104" i="1" s="1"/>
  <c r="I104" i="1" s="1"/>
  <c r="F103" i="1"/>
  <c r="G103" i="1" s="1"/>
  <c r="H103" i="1" s="1"/>
  <c r="I103" i="1" s="1"/>
  <c r="F101" i="1"/>
  <c r="H101" i="1" s="1"/>
  <c r="F114" i="1"/>
  <c r="G114" i="1" s="1"/>
  <c r="H114" i="1" s="1"/>
  <c r="I114" i="1" s="1"/>
  <c r="F109" i="1"/>
  <c r="F106" i="1"/>
  <c r="G106" i="1" s="1"/>
  <c r="H106" i="1" s="1"/>
  <c r="I106" i="1" s="1"/>
  <c r="E107" i="1"/>
  <c r="F107" i="1" s="1"/>
  <c r="G107" i="1" s="1"/>
  <c r="H107" i="1" s="1"/>
  <c r="I107" i="1" s="1"/>
  <c r="F92" i="1"/>
  <c r="G81" i="1"/>
  <c r="F57" i="1"/>
  <c r="E90" i="1"/>
  <c r="I89" i="1"/>
  <c r="F89" i="1"/>
  <c r="I83" i="1"/>
  <c r="F83" i="1" s="1"/>
  <c r="F84" i="1"/>
  <c r="I84" i="1" s="1"/>
  <c r="E123" i="1" l="1"/>
  <c r="H128" i="1"/>
  <c r="G129" i="1"/>
  <c r="F129" i="1"/>
  <c r="G101" i="1"/>
  <c r="I101" i="1" s="1"/>
  <c r="H113" i="1"/>
  <c r="G126" i="1"/>
  <c r="H126" i="1" s="1"/>
  <c r="I126" i="1" s="1"/>
  <c r="F123" i="1"/>
  <c r="G123" i="1"/>
  <c r="F81" i="1"/>
  <c r="F139" i="1" s="1"/>
  <c r="I81" i="1"/>
  <c r="I139" i="1" s="1"/>
  <c r="F90" i="1"/>
  <c r="G90" i="1" s="1"/>
  <c r="H90" i="1" s="1"/>
  <c r="I90" i="1" s="1"/>
  <c r="E98" i="1"/>
  <c r="H105" i="1"/>
  <c r="F99" i="1"/>
  <c r="G95" i="1"/>
  <c r="G89" i="1"/>
  <c r="G92" i="1"/>
  <c r="H92" i="1" s="1"/>
  <c r="I92" i="1" s="1"/>
  <c r="I128" i="1" l="1"/>
  <c r="I129" i="1" s="1"/>
  <c r="H129" i="1"/>
  <c r="H123" i="1"/>
  <c r="F98" i="1"/>
  <c r="G99" i="1"/>
  <c r="I95" i="1"/>
  <c r="H95" i="1"/>
  <c r="H82" i="1"/>
  <c r="H81" i="1" s="1"/>
  <c r="H139" i="1" s="1"/>
  <c r="F80" i="1"/>
  <c r="F79" i="1"/>
  <c r="H79" i="1" s="1"/>
  <c r="I79" i="1" s="1"/>
  <c r="F78" i="1"/>
  <c r="G78" i="1" s="1"/>
  <c r="H78" i="1" s="1"/>
  <c r="I78" i="1" s="1"/>
  <c r="G77" i="1"/>
  <c r="F77" i="1"/>
  <c r="I77" i="1" s="1"/>
  <c r="F74" i="1"/>
  <c r="G74" i="1" s="1"/>
  <c r="G73" i="1" s="1"/>
  <c r="E81" i="1"/>
  <c r="C81" i="1"/>
  <c r="C73" i="1" s="1"/>
  <c r="C176" i="1" s="1"/>
  <c r="C94" i="1"/>
  <c r="I123" i="1" l="1"/>
  <c r="F137" i="1"/>
  <c r="F73" i="1"/>
  <c r="F175" i="1" s="1"/>
  <c r="G79" i="1"/>
  <c r="G137" i="1" s="1"/>
  <c r="G144" i="1" s="1"/>
  <c r="E139" i="1"/>
  <c r="E144" i="1" s="1"/>
  <c r="E73" i="1"/>
  <c r="C179" i="1"/>
  <c r="G98" i="1"/>
  <c r="G175" i="1" s="1"/>
  <c r="H99" i="1"/>
  <c r="H74" i="1"/>
  <c r="I74" i="1" s="1"/>
  <c r="I73" i="1" s="1"/>
  <c r="G57" i="1"/>
  <c r="H57" i="1" s="1"/>
  <c r="I57" i="1" s="1"/>
  <c r="F56" i="1"/>
  <c r="G56" i="1" s="1"/>
  <c r="H56" i="1" s="1"/>
  <c r="I56" i="1" s="1"/>
  <c r="F55" i="1"/>
  <c r="G50" i="1"/>
  <c r="E50" i="1"/>
  <c r="I48" i="1"/>
  <c r="H48" i="1"/>
  <c r="G48" i="1"/>
  <c r="F48" i="1"/>
  <c r="E48" i="1"/>
  <c r="D48" i="1"/>
  <c r="G44" i="1"/>
  <c r="I44" i="1" s="1"/>
  <c r="F44" i="1"/>
  <c r="F43" i="1"/>
  <c r="I35" i="1"/>
  <c r="F35" i="1"/>
  <c r="Y35" i="1"/>
  <c r="V35" i="1"/>
  <c r="S35" i="1"/>
  <c r="AB34" i="1"/>
  <c r="AD34" i="1" s="1"/>
  <c r="AA34" i="1"/>
  <c r="X34" i="1"/>
  <c r="U34" i="1"/>
  <c r="AB32" i="1"/>
  <c r="T32" i="1"/>
  <c r="U32" i="1" s="1"/>
  <c r="AB30" i="1"/>
  <c r="T30" i="1"/>
  <c r="W30" i="1" s="1"/>
  <c r="AB28" i="1"/>
  <c r="T28" i="1"/>
  <c r="U28" i="1" s="1"/>
  <c r="AB23" i="1"/>
  <c r="Y23" i="1"/>
  <c r="V23" i="1"/>
  <c r="S23" i="1"/>
  <c r="AA22" i="1"/>
  <c r="X22" i="1"/>
  <c r="U22" i="1"/>
  <c r="W20" i="1"/>
  <c r="Z20" i="1" s="1"/>
  <c r="AC20" i="1" s="1"/>
  <c r="AD20" i="1" s="1"/>
  <c r="U20" i="1"/>
  <c r="W18" i="1"/>
  <c r="Z18" i="1" s="1"/>
  <c r="U18" i="1"/>
  <c r="W16" i="1"/>
  <c r="Z16" i="1" s="1"/>
  <c r="U16" i="1"/>
  <c r="D41" i="1"/>
  <c r="D43" i="1"/>
  <c r="D44" i="1"/>
  <c r="H44" i="1" l="1"/>
  <c r="H73" i="1"/>
  <c r="E176" i="1"/>
  <c r="E175" i="1"/>
  <c r="F52" i="1"/>
  <c r="D42" i="1"/>
  <c r="D174" i="1" s="1"/>
  <c r="D182" i="1" s="1"/>
  <c r="D184" i="1" s="1"/>
  <c r="H55" i="1"/>
  <c r="G55" i="1"/>
  <c r="G52" i="1" s="1"/>
  <c r="H137" i="1"/>
  <c r="H144" i="1" s="1"/>
  <c r="I99" i="1"/>
  <c r="H98" i="1"/>
  <c r="I43" i="1"/>
  <c r="AB35" i="1"/>
  <c r="X20" i="1"/>
  <c r="W32" i="1"/>
  <c r="Z32" i="1" s="1"/>
  <c r="U23" i="1"/>
  <c r="X30" i="1"/>
  <c r="Z30" i="1"/>
  <c r="AA18" i="1"/>
  <c r="AC18" i="1"/>
  <c r="AD18" i="1" s="1"/>
  <c r="AC16" i="1"/>
  <c r="AD16" i="1" s="1"/>
  <c r="AA16" i="1"/>
  <c r="AA32" i="1"/>
  <c r="AC32" i="1"/>
  <c r="X18" i="1"/>
  <c r="AA20" i="1"/>
  <c r="W28" i="1"/>
  <c r="X16" i="1"/>
  <c r="X23" i="1" s="1"/>
  <c r="U30" i="1"/>
  <c r="U35" i="1" s="1"/>
  <c r="F36" i="1"/>
  <c r="D34" i="1"/>
  <c r="F34" i="1" l="1"/>
  <c r="F41" i="1"/>
  <c r="G36" i="1"/>
  <c r="H175" i="1"/>
  <c r="H52" i="1"/>
  <c r="I55" i="1"/>
  <c r="I52" i="1" s="1"/>
  <c r="I137" i="1"/>
  <c r="I144" i="1" s="1"/>
  <c r="I98" i="1"/>
  <c r="I175" i="1" s="1"/>
  <c r="X32" i="1"/>
  <c r="AD32" i="1" s="1"/>
  <c r="X28" i="1"/>
  <c r="X35" i="1" s="1"/>
  <c r="Z28" i="1"/>
  <c r="AD23" i="1"/>
  <c r="AA30" i="1"/>
  <c r="AD30" i="1" s="1"/>
  <c r="AC30" i="1"/>
  <c r="AA23" i="1"/>
  <c r="K88" i="13"/>
  <c r="K86" i="13"/>
  <c r="K84" i="13"/>
  <c r="G41" i="1" l="1"/>
  <c r="G34" i="1"/>
  <c r="G42" i="1" s="1"/>
  <c r="H36" i="1"/>
  <c r="F42" i="1"/>
  <c r="D179" i="1"/>
  <c r="AC28" i="1"/>
  <c r="AA28" i="1"/>
  <c r="J59" i="13"/>
  <c r="I59" i="13"/>
  <c r="H34" i="1" l="1"/>
  <c r="H41" i="1"/>
  <c r="I36" i="1"/>
  <c r="AA35" i="1"/>
  <c r="AD28" i="1"/>
  <c r="AD35" i="1" s="1"/>
  <c r="I11" i="7"/>
  <c r="G14" i="7"/>
  <c r="G13" i="7"/>
  <c r="G12" i="7"/>
  <c r="G11" i="7"/>
  <c r="H42" i="1" l="1"/>
  <c r="I41" i="1"/>
  <c r="I34" i="1"/>
  <c r="L22" i="5"/>
  <c r="K22" i="5"/>
  <c r="J22" i="5"/>
  <c r="N18" i="5"/>
  <c r="L18" i="5"/>
  <c r="K18" i="5"/>
  <c r="J18" i="5"/>
  <c r="L17" i="5"/>
  <c r="K17" i="5"/>
  <c r="J17" i="5"/>
  <c r="J16" i="5"/>
  <c r="K16" i="5" s="1"/>
  <c r="N14" i="5"/>
  <c r="J15" i="5"/>
  <c r="L14" i="5"/>
  <c r="K14" i="5"/>
  <c r="J14" i="5"/>
  <c r="L7" i="5"/>
  <c r="I22" i="5"/>
  <c r="I18" i="5"/>
  <c r="I17" i="5"/>
  <c r="I15" i="5"/>
  <c r="I13" i="5" s="1"/>
  <c r="I11" i="5" s="1"/>
  <c r="G15" i="5"/>
  <c r="I42" i="1" l="1"/>
  <c r="L16" i="5"/>
  <c r="N16" i="5" s="1"/>
  <c r="K13" i="5"/>
  <c r="J13" i="5"/>
  <c r="J11" i="5" s="1"/>
  <c r="I20" i="5"/>
  <c r="I23" i="5"/>
  <c r="K11" i="5"/>
  <c r="I14" i="5"/>
  <c r="G12" i="5"/>
  <c r="K12" i="5"/>
  <c r="J12" i="5"/>
  <c r="J23" i="5" l="1"/>
  <c r="J20" i="5"/>
  <c r="N12" i="5"/>
  <c r="O12" i="5" s="1"/>
  <c r="K23" i="5"/>
  <c r="K20" i="5"/>
  <c r="F23" i="5"/>
  <c r="E23" i="5"/>
  <c r="G22" i="5"/>
  <c r="F22" i="5"/>
  <c r="E22" i="5"/>
  <c r="E20" i="6"/>
  <c r="D20" i="6"/>
  <c r="C20" i="6"/>
  <c r="L13" i="5" l="1"/>
  <c r="N15" i="5"/>
  <c r="O15" i="5" s="1"/>
  <c r="F20" i="5"/>
  <c r="E20" i="5"/>
  <c r="F11" i="5"/>
  <c r="F13" i="5"/>
  <c r="E11" i="5"/>
  <c r="E13" i="5"/>
  <c r="F16" i="5"/>
  <c r="F14" i="5"/>
  <c r="E14" i="5"/>
  <c r="F15" i="5"/>
  <c r="F12" i="5"/>
  <c r="E15" i="5"/>
  <c r="H22" i="5"/>
  <c r="D23" i="5"/>
  <c r="C23" i="5"/>
  <c r="I11" i="10"/>
  <c r="E11" i="10"/>
  <c r="N13" i="5" l="1"/>
  <c r="L11" i="5"/>
  <c r="D20" i="5"/>
  <c r="C20" i="5"/>
  <c r="L20" i="5" l="1"/>
  <c r="L23" i="5"/>
  <c r="N11" i="5"/>
  <c r="D11" i="5"/>
  <c r="E34" i="1"/>
  <c r="E41" i="1"/>
  <c r="F51" i="1"/>
  <c r="E179" i="1" l="1"/>
  <c r="E174" i="1"/>
  <c r="E182" i="1" s="1"/>
  <c r="E184" i="1" s="1"/>
  <c r="G51" i="1"/>
  <c r="F176" i="1"/>
  <c r="F179" i="1" s="1"/>
  <c r="F174" i="1"/>
  <c r="F182" i="1" s="1"/>
  <c r="H13" i="5"/>
  <c r="H11" i="5" s="1"/>
  <c r="H18" i="5"/>
  <c r="H20" i="5" l="1"/>
  <c r="H23" i="5"/>
  <c r="F183" i="1"/>
  <c r="H51" i="1"/>
  <c r="G176" i="1"/>
  <c r="G179" i="1" s="1"/>
  <c r="G174" i="1"/>
  <c r="G182" i="1" s="1"/>
  <c r="G184" i="1" s="1"/>
  <c r="H17" i="5"/>
  <c r="H15" i="5"/>
  <c r="E186" i="1" l="1"/>
  <c r="E188" i="1" s="1"/>
  <c r="I51" i="1"/>
  <c r="H174" i="1"/>
  <c r="H182" i="1" s="1"/>
  <c r="H184" i="1" s="1"/>
  <c r="H176" i="1"/>
  <c r="H179" i="1" s="1"/>
  <c r="F186" i="1"/>
  <c r="H14" i="5"/>
  <c r="C11" i="5"/>
  <c r="C13" i="5"/>
  <c r="C18" i="5"/>
  <c r="C12" i="5"/>
  <c r="G186" i="1" l="1"/>
  <c r="G188" i="1" s="1"/>
  <c r="I176" i="1"/>
  <c r="I179" i="1" s="1"/>
  <c r="I174" i="1"/>
  <c r="I182" i="1" s="1"/>
  <c r="I184" i="1" s="1"/>
  <c r="G18" i="5"/>
  <c r="G17" i="5"/>
  <c r="G13" i="5"/>
  <c r="G11" i="5" s="1"/>
  <c r="G14" i="5"/>
  <c r="H186" i="1" l="1"/>
  <c r="H188" i="1" s="1"/>
  <c r="G23" i="5"/>
  <c r="G20" i="5"/>
  <c r="I186" i="1" l="1"/>
  <c r="I188" i="1" s="1"/>
  <c r="C175" i="1"/>
  <c r="C182" i="1" s="1"/>
  <c r="C184" i="1" s="1"/>
  <c r="C188" i="1" s="1"/>
  <c r="F135" i="1"/>
  <c r="F242" i="1" s="1"/>
  <c r="F241" i="1" s="1"/>
  <c r="F144" i="1" l="1"/>
  <c r="O137" i="1"/>
  <c r="S137" i="1" s="1"/>
  <c r="S134" i="1"/>
</calcChain>
</file>

<file path=xl/sharedStrings.xml><?xml version="1.0" encoding="utf-8"?>
<sst xmlns="http://schemas.openxmlformats.org/spreadsheetml/2006/main" count="1275" uniqueCount="702">
  <si>
    <t>"ЗАТВЕРДЖЕНО"</t>
  </si>
  <si>
    <t>М.П.</t>
  </si>
  <si>
    <t>Проект</t>
  </si>
  <si>
    <t>Уточнений</t>
  </si>
  <si>
    <t>зробити позначку "Х"</t>
  </si>
  <si>
    <t>Коди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</si>
  <si>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</si>
  <si>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</si>
  <si>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</si>
  <si>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</si>
  <si>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</si>
  <si>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</si>
  <si>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</si>
  <si>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</si>
  <si>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</si>
  <si>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</si>
  <si>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</si>
  <si>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Стандарти звітності П(с)БОУ</t>
  </si>
  <si>
    <t>Стандарти звітності МСФЗ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</si>
  <si>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</si>
  <si>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</si>
  <si>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</si>
  <si>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</si>
  <si>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</si>
  <si>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</si>
  <si>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</si>
  <si>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</si>
  <si>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</si>
  <si>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</si>
  <si>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І.І. Доходи</t>
  </si>
  <si>
    <t>Дохід з державного (обласного) бюджету за цільовими програмами, в т.ч.:</t>
  </si>
  <si>
    <t>…</t>
  </si>
  <si>
    <t>Дохід з місцевого бюджету за цільовими програмами, в т.ч.:</t>
  </si>
  <si>
    <t>Інші доходи від операційної діяльності, в т.ч.:</t>
  </si>
  <si>
    <t>дохід від оренди активів</t>
  </si>
  <si>
    <t>дохід від реалізації майна</t>
  </si>
  <si>
    <t>надходження коштів як компенсація орендарем комунальних послуг</t>
  </si>
  <si>
    <t>дохід від одержаних грантів та субсідій</t>
  </si>
  <si>
    <t>благодійні внески від громадян та організацій тощо</t>
  </si>
  <si>
    <t xml:space="preserve">інші доходи </t>
  </si>
  <si>
    <t>відшкодування збитків від надзвичайних ситуацій, стихійного лиха, пожеж, техногенних аварій тощо</t>
  </si>
  <si>
    <t>І.ІІ. Видатки</t>
  </si>
  <si>
    <t>Собівартість реалізованої продукції (товарів, робіт, послуг), у тому числі:</t>
  </si>
  <si>
    <t>Витрати на паливо-мастильні матеріали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</si>
  <si>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</si>
  <si>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</si>
  <si>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</si>
  <si>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</si>
  <si>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</si>
  <si>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теплопостачання</t>
  </si>
  <si>
    <t>Оплата послуг (крім комунальних)</t>
  </si>
  <si>
    <t>Витрати на оплату праці</t>
  </si>
  <si>
    <t>Відрахування на соціальні заходи</t>
  </si>
  <si>
    <t>Витрати на відрядження</t>
  </si>
  <si>
    <t>Витрати, що здійснюються для підтримки обєкта в робочому стані (проведення ремонту, технічного огляду, нагляду, обслуговування тощо)</t>
  </si>
  <si>
    <t>Амортизація</t>
  </si>
  <si>
    <t>Інші витрати, в т.ч.:</t>
  </si>
  <si>
    <t>Адміністративні витрати, в т.ч.:</t>
  </si>
  <si>
    <t>Витрати на товари, заходи, в т.ч.:</t>
  </si>
  <si>
    <t>сума рядків 1311,1312-1316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</si>
  <si>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</si>
  <si>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</si>
  <si>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</si>
  <si>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обслуговування орг. техніки</t>
  </si>
  <si>
    <t>Витрати на страхові та рєестраційні послуги</t>
  </si>
  <si>
    <t>Витрати на аудіторські послуги</t>
  </si>
  <si>
    <t>Консультаційні та інформаційні послуги</t>
  </si>
  <si>
    <t>Юридичні та нотариальні послуги</t>
  </si>
  <si>
    <t>Витрати на ремонт та запасні частини до транспортних засобів</t>
  </si>
  <si>
    <t>Витрати на комунальні послуги та енергоносії</t>
  </si>
  <si>
    <t>Витрати на охорону праці та навчання працівників</t>
  </si>
  <si>
    <t>Інші адміністративні витрати, в т.ч.:</t>
  </si>
  <si>
    <t>Інші витрати від операційної діяльності, в т.ч.:</t>
  </si>
  <si>
    <t>Витрати на збут, в т.ч.:</t>
  </si>
  <si>
    <t>сума рядків 1510-1550</t>
  </si>
  <si>
    <t>Матеріальні затрати</t>
  </si>
  <si>
    <t>Інші операційні витрати, в т.ч.:</t>
  </si>
  <si>
    <t>витрати на рекламу, гарантійний ремонт (обслуговування) тощо</t>
  </si>
  <si>
    <t>Інші фінансові витрати, усього, у тому числі (розшифрувати):</t>
  </si>
  <si>
    <t>ІІ. Елементи операційних витрат</t>
  </si>
  <si>
    <t>Витрати на оплату праці, в т.ч.:</t>
  </si>
  <si>
    <t>у т.ч. за рахунок місцевого бюджету</t>
  </si>
  <si>
    <t>Інші операційні витрати</t>
  </si>
  <si>
    <t>РАЗОМ (сума рядків 2000,2010,2020,2030,2040,2050)</t>
  </si>
  <si>
    <t>ІІІ. Інвестиційна діяльність</t>
  </si>
  <si>
    <t>Доходи від інвестиційної діяльності, у т.ч.:</t>
  </si>
  <si>
    <t>сума рядків 3001,3002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</si>
  <si>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</si>
  <si>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</si>
  <si>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Капітальні інвестиції, усього, у тому числі:</t>
  </si>
  <si>
    <t>сума рядків 3110, 3120, 3130, 3140, 3150, 3160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</si>
  <si>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</si>
  <si>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</si>
  <si>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</si>
  <si>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</si>
  <si>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</si>
  <si>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</si>
  <si>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</si>
  <si>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</si>
  <si>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>сума рядків 4001-4003, 4010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</si>
  <si>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</si>
  <si>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</si>
  <si>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</si>
  <si>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</si>
  <si>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</si>
  <si>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сума рядків 4021-4023, 4030</t>
  </si>
  <si>
    <t>Інші витрати (розшифрувати)</t>
  </si>
  <si>
    <t>V. Фінансовий результат діяльності</t>
  </si>
  <si>
    <t xml:space="preserve">Чистий фінансовий результат,
у тому числі:
</t>
  </si>
  <si>
    <t>прибуток</t>
  </si>
  <si>
    <t>збиток</t>
  </si>
  <si>
    <t>Дані про персонал та витрати на оплату праці</t>
  </si>
  <si>
    <t>на 1.01</t>
  </si>
  <si>
    <t>на 1.04</t>
  </si>
  <si>
    <t>на 1.07</t>
  </si>
  <si>
    <t>на 1.10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</si>
  <si>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</si>
  <si>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Витрати на оплату праці (грн.), усього, в тому числі:</t>
  </si>
  <si>
    <t xml:space="preserve">Середньомісячні витрати на оплату праці
одного працівника (грн), усього, у тому числі:
</t>
  </si>
  <si>
    <t>Заборгованість перед працівниками за заробітною платою</t>
  </si>
  <si>
    <t>Сплата податків, зборів та інших обов’язкових платежів</t>
  </si>
  <si>
    <t>податок на доходи фізичних осіб</t>
  </si>
  <si>
    <t>земельний податок</t>
  </si>
  <si>
    <t>орендна плата</t>
  </si>
  <si>
    <t>інші податки та збори (розшифрувати)</t>
  </si>
  <si>
    <t>Відомості про заборгованість</t>
  </si>
  <si>
    <t>Дебіторська заборгованість</t>
  </si>
  <si>
    <t>Кредиторська заборгованість</t>
  </si>
  <si>
    <t>Вартість основних засобів</t>
  </si>
  <si>
    <t xml:space="preserve">                                (посада)</t>
  </si>
  <si>
    <t xml:space="preserve">         (Власне ім'я, ПРІЗВИЩЕ)    </t>
  </si>
  <si>
    <t>Виконавець</t>
  </si>
  <si>
    <t>Джерела капітальних інвестицій</t>
  </si>
  <si>
    <t>тис.грн. (без ПДВ)</t>
  </si>
  <si>
    <t>№ з/п</t>
  </si>
  <si>
    <t>Найменування об'єкта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</si>
  <si>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</si>
  <si>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</si>
  <si>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</si>
  <si>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</si>
  <si>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</si>
  <si>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рік</t>
  </si>
  <si>
    <t>у тому числі за кварталами</t>
  </si>
  <si>
    <t>І</t>
  </si>
  <si>
    <t>ІІ</t>
  </si>
  <si>
    <t>ІІІ</t>
  </si>
  <si>
    <t>ІV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</si>
  <si>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</si>
  <si>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</si>
  <si>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</si>
  <si>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</si>
  <si>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_______________________</t>
  </si>
  <si>
    <t xml:space="preserve">                  (посада)</t>
  </si>
  <si>
    <t xml:space="preserve">                    (підпис)</t>
  </si>
  <si>
    <t>Таблиця 2</t>
  </si>
  <si>
    <t>Капітальне будівництво</t>
  </si>
  <si>
    <t>(рядок 3110 Фінансового плану)</t>
  </si>
  <si>
    <t>тис.грн., без ПДВ</t>
  </si>
  <si>
    <t>Найменування обєкта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</si>
  <si>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</si>
  <si>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</si>
  <si>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</si>
  <si>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</si>
  <si>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</si>
  <si>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</si>
  <si>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</si>
  <si>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</si>
  <si>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</si>
  <si>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</si>
  <si>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</si>
  <si>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</si>
  <si>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</si>
  <si>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Таблиця 3</t>
  </si>
  <si>
    <t>Інформація щодо отримання та повернення залучених коштів</t>
  </si>
  <si>
    <t>грн.</t>
  </si>
  <si>
    <t>Зобов'язання</t>
  </si>
  <si>
    <t>Заборгованість за кредитами на початок ________ року</t>
  </si>
  <si>
    <t>План із залучення коштів</t>
  </si>
  <si>
    <t>План з повернення коштів</t>
  </si>
  <si>
    <t>Заборгованість за кредитами на кінець ________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</si>
  <si>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</si>
  <si>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</si>
  <si>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</si>
  <si>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</si>
  <si>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</si>
  <si>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Сума основного боргу</t>
  </si>
  <si>
    <t>відсотки нараховані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</si>
  <si>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</si>
  <si>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</si>
  <si>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</si>
  <si>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Назва показника</t>
  </si>
  <si>
    <t>Плановий рік (всього)</t>
  </si>
  <si>
    <t>у тому числі</t>
  </si>
  <si>
    <t>всього</t>
  </si>
  <si>
    <t>в т.ч. адмінперсонал</t>
  </si>
  <si>
    <t>Облікова  кількість штатних працівників*</t>
  </si>
  <si>
    <t>Середня кількість штатних працівників за звітний період*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</si>
  <si>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</si>
  <si>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</si>
  <si>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</si>
  <si>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</si>
  <si>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</si>
  <si>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</si>
  <si>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</si>
  <si>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</si>
  <si>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</si>
  <si>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</si>
  <si>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</si>
  <si>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</si>
  <si>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</si>
  <si>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</si>
  <si>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</si>
  <si>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</si>
  <si>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</si>
  <si>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</si>
  <si>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інші заохочувальні та компенсаційні виплати (за вислугу років, за підсумками роботи за рік, тощо)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</si>
  <si>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</si>
  <si>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</si>
  <si>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</si>
  <si>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</si>
  <si>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 xml:space="preserve">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</si>
  <si>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Таблиця 5</t>
  </si>
  <si>
    <t>Відомості про майно</t>
  </si>
  <si>
    <t>Назва майна</t>
  </si>
  <si>
    <t>Місце знаходження</t>
  </si>
  <si>
    <t>Сума нарахованого зносу (тис.грн.)</t>
  </si>
  <si>
    <t xml:space="preserve">Фактичний стан майна 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</si>
  <si>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</si>
  <si>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</si>
  <si>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</si>
  <si>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</si>
  <si>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</si>
  <si>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</si>
  <si>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</si>
  <si>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</si>
  <si>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Таблиця 6</t>
  </si>
  <si>
    <t>Транспортні витрати</t>
  </si>
  <si>
    <t>Марка</t>
  </si>
  <si>
    <t>Рік придбання</t>
  </si>
  <si>
    <t>Мета використання</t>
  </si>
  <si>
    <t>Витрати, усього</t>
  </si>
  <si>
    <t>Плановий рік до плану поточного року, %</t>
  </si>
  <si>
    <t>Плановий рік до факту минулого року, %</t>
  </si>
  <si>
    <t>плановий рік</t>
  </si>
  <si>
    <t>Витрати на оренду службових автомобілів</t>
  </si>
  <si>
    <t>Договір</t>
  </si>
  <si>
    <t>Дата початку оренди</t>
  </si>
  <si>
    <t>Разом: 100%</t>
  </si>
  <si>
    <t>на зміцнення матеріально-технічної бази підприємства</t>
  </si>
  <si>
    <t>на покращення якості послуг</t>
  </si>
  <si>
    <t>виконання зобов’язань по виплаті заробітної плати</t>
  </si>
  <si>
    <t>оплата податків та зборів, за спожиті енергоносії, тощо</t>
  </si>
  <si>
    <t>придбання матеріалів, запасних частин, оплата робіт, послуг для стабільної роботи підприємств та підготовки їх до роботи в осінньо-зимовий період, тощо</t>
  </si>
  <si>
    <t>подолання наслідків стихії, надзвичайних ситуацій та аварій</t>
  </si>
  <si>
    <t>вивезення твердих побутових відходів</t>
  </si>
  <si>
    <t>за програмою «Внески до статутного 
капіталу комунальних підприємств 
П’ятихатської міської ради 
на 2021-2025 роки»
, в т.ч.:</t>
  </si>
  <si>
    <t>надання ритуальних послуг</t>
  </si>
  <si>
    <t>послуги з водопостачання</t>
  </si>
  <si>
    <t>послуги з водовідведення</t>
  </si>
  <si>
    <t>управління багатоквартирними будинками</t>
  </si>
  <si>
    <t>надання інших послуг (послуги автотранспорту, виконання інших робіт)</t>
  </si>
  <si>
    <t>за окремим видом діяльності, згідно КВЕД</t>
  </si>
  <si>
    <t>Витрати на матеріали та сировину, в т.ч.:</t>
  </si>
  <si>
    <t xml:space="preserve">витрати на сировину і основні матеріали </t>
  </si>
  <si>
    <t xml:space="preserve">за програмою Розвитку благоустрою населених пунктів П’ятихатської міської ради на 2021 - 2025 роки, в т.ч.:
</t>
  </si>
  <si>
    <t>на проведення заходів з комплексного благоустрою населених пунктів</t>
  </si>
  <si>
    <t>за Комплексною Програмою соціального захисту населення П’ятихатської міської ради на 2021 – 2025 роки, в т.ч.:</t>
  </si>
  <si>
    <t>поховання померлих одиноких громадян</t>
  </si>
  <si>
    <t>відрахування до профспілки</t>
  </si>
  <si>
    <t>Організаційно-технічні послуги</t>
  </si>
  <si>
    <t>1461…</t>
  </si>
  <si>
    <t>обладнання та устаткування</t>
  </si>
  <si>
    <t xml:space="preserve">запасні частини </t>
  </si>
  <si>
    <t>плата за розрахунково-касове обслуговування (інші послуги банків), штрафи, пені, неустойки тощо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</si>
  <si>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</si>
  <si>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</si>
  <si>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Усього витрат (сума рядків 1100, 1300, 1500, 1600, 1700, 1800, 3100, 4020)</t>
  </si>
  <si>
    <t>VІ. Розподіл чистого прибутку</t>
  </si>
  <si>
    <t>Відрахування частини прибутку (доходу) до бюджету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</si>
  <si>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</si>
  <si>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</si>
  <si>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</si>
  <si>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</si>
  <si>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</si>
  <si>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</si>
  <si>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</si>
  <si>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>на розвиток виробництва (виробничі інвестиції), інше використання прибутку тощо</t>
  </si>
  <si>
    <t>загальновиробничий персонал</t>
  </si>
  <si>
    <t>адміністративно-управлінський персонал, в т.ч.:</t>
  </si>
  <si>
    <t>керівник підприємства за контрактом</t>
  </si>
  <si>
    <t>професіонали</t>
  </si>
  <si>
    <t>керівники</t>
  </si>
  <si>
    <t xml:space="preserve">фахівці </t>
  </si>
  <si>
    <t>технічні службовці</t>
  </si>
  <si>
    <t>робочі основного фонду</t>
  </si>
  <si>
    <t>7002/1</t>
  </si>
  <si>
    <t>7002/2</t>
  </si>
  <si>
    <t>7002/3</t>
  </si>
  <si>
    <t>7002/4</t>
  </si>
  <si>
    <t>7012/1</t>
  </si>
  <si>
    <t>7012/2</t>
  </si>
  <si>
    <t>7012/3</t>
  </si>
  <si>
    <t>7012/4</t>
  </si>
  <si>
    <t>7022/1</t>
  </si>
  <si>
    <t>7022/2</t>
  </si>
  <si>
    <t>7022/3</t>
  </si>
  <si>
    <t>7022/4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</si>
  <si>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</si>
  <si>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</si>
  <si>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</si>
  <si>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</si>
  <si>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</si>
  <si>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 xml:space="preserve">Інші податки </t>
  </si>
  <si>
    <t>Сплата поточних податків та обов’язкових платежів до бюджету, у т.ч.: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</si>
  <si>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</si>
  <si>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</si>
  <si>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</si>
  <si>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</si>
  <si>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Погашення податкової заборгованості, у т.ч.:</t>
  </si>
  <si>
    <t>внески до фондів соціального страхування</t>
  </si>
  <si>
    <t xml:space="preserve">інші платежі </t>
  </si>
  <si>
    <t>Внески до державних цільових фондів, у т.ч.:</t>
  </si>
  <si>
    <t>Інші обов’язкові платежі, у т.ч.:</t>
  </si>
  <si>
    <t>місцеві податки та збори, в т.ч.:</t>
  </si>
  <si>
    <t>7071/1</t>
  </si>
  <si>
    <t>7071/2</t>
  </si>
  <si>
    <t>7071/3</t>
  </si>
  <si>
    <t>7071/4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</si>
  <si>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</si>
  <si>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Види діяльності  (вказати всі види діяльності)</t>
  </si>
  <si>
    <t>Питома вага в загальному обсязі реалізації товарів, робіт, послуг, %</t>
  </si>
  <si>
    <t>ЗВІТ ПРО ВИКОНАННЯ ФІНАНСОВОГО ПЛАНУ</t>
  </si>
  <si>
    <t>(назва підприємства)</t>
  </si>
  <si>
    <t>за ____________ 20__ року</t>
  </si>
  <si>
    <t>Показники </t>
  </si>
  <si>
    <t>Код рядка</t>
  </si>
  <si>
    <t>Звітний період (___________ 20__ року)</t>
  </si>
  <si>
    <t>Звітний період наростаючим підсумком з початку року</t>
  </si>
  <si>
    <t>план</t>
  </si>
  <si>
    <t>факт</t>
  </si>
  <si>
    <t>відхилення, +/-            (ст.4 - ст.3)</t>
  </si>
  <si>
    <t>відхилення, %  (ст.4/ст.3)х100</t>
  </si>
  <si>
    <t>відхилення, +/-            (ст.8 - ст.7)</t>
  </si>
  <si>
    <t>відхилення, %  (ст.8/ст.7)х100</t>
  </si>
  <si>
    <t>1 </t>
  </si>
  <si>
    <t>2 </t>
  </si>
  <si>
    <t>І. Формування фінансових результатів</t>
  </si>
  <si>
    <t>І.І.Доходи</t>
  </si>
  <si>
    <t>х</t>
  </si>
  <si>
    <t>у загальних доходах</t>
  </si>
  <si>
    <t>у загальних видатках</t>
  </si>
  <si>
    <t xml:space="preserve">Інформація про бізнес підприємства </t>
  </si>
  <si>
    <t>Таблиця 7</t>
  </si>
  <si>
    <t>Структура операційних витрат з реалізованої продукції (робіт, послуг) за основними видами економічної діяльності</t>
  </si>
  <si>
    <t>Вид діяльності</t>
  </si>
  <si>
    <t>за рахунок власних коштів</t>
  </si>
  <si>
    <t>за рахунок місцевого бюджету</t>
  </si>
  <si>
    <t>За елементами витрат</t>
  </si>
  <si>
    <t>Відрахування на соціальні заходи, в т.ч.:</t>
  </si>
  <si>
    <t>Матеріальні затрати, в т.ч.:</t>
  </si>
  <si>
    <t>Таблиця 8</t>
  </si>
  <si>
    <t>(підпис)</t>
  </si>
  <si>
    <t>Затверджений</t>
  </si>
  <si>
    <t>Факт __________ року</t>
  </si>
  <si>
    <t>Уточнений фінансовий план __________ року</t>
  </si>
  <si>
    <r>
      <t xml:space="preserve">Орган управління  </t>
    </r>
    <r>
      <rPr>
        <b/>
        <i/>
        <sz val="10"/>
        <rFont val="Times New Roman"/>
        <family val="1"/>
        <charset val="204"/>
      </rPr>
      <t xml:space="preserve"> </t>
    </r>
  </si>
  <si>
    <t>Податок на додану вартість</t>
  </si>
  <si>
    <t>Чистий дохід (виручка) від реалізації продукції (товарів, робіт, послуг) без ПДВ, в т.ч.:</t>
  </si>
  <si>
    <t>Ддохід (виручка) від реалізації продукції (товарів, робіт, послуг), в т.ч.:</t>
  </si>
  <si>
    <t>шини, акумулятори</t>
  </si>
  <si>
    <t>Витрати на культурно-масові заходи</t>
  </si>
  <si>
    <t>1441…</t>
  </si>
  <si>
    <t>факт ________ року</t>
  </si>
  <si>
    <t>уточнений фінансовий план _________ року</t>
  </si>
  <si>
    <t>Показники</t>
  </si>
  <si>
    <t>Одиниця вимиру</t>
  </si>
  <si>
    <t>І  кв.</t>
  </si>
  <si>
    <t>ІІ  кв.</t>
  </si>
  <si>
    <t>ІІІ  кв.</t>
  </si>
  <si>
    <t>ІV кв.</t>
  </si>
  <si>
    <t>Підйом води насосними станціями (І підйом)</t>
  </si>
  <si>
    <t>Технологічні витрати і витрати у водопровідних мережах</t>
  </si>
  <si>
    <t>Реалізація води</t>
  </si>
  <si>
    <t>тис.м.куб.</t>
  </si>
  <si>
    <t>%</t>
  </si>
  <si>
    <t>Пропущено стоків через очісні споруди</t>
  </si>
  <si>
    <t>Прийом стоків</t>
  </si>
  <si>
    <t>по водопостачанню</t>
  </si>
  <si>
    <t>по водовідведенню</t>
  </si>
  <si>
    <t>Вивіз твердих побутових відходів, в т.ч.:</t>
  </si>
  <si>
    <t>населення</t>
  </si>
  <si>
    <t>бюджетні установи</t>
  </si>
  <si>
    <t>інші споживачи</t>
  </si>
  <si>
    <t>Ритуальні послуги, в т.ч.:</t>
  </si>
  <si>
    <t>Ритуальна служба</t>
  </si>
  <si>
    <t>поховань</t>
  </si>
  <si>
    <t>інші субєкти господарювання за договорами (розшифрувати) ….</t>
  </si>
  <si>
    <t>у сфері поводження з ТПВ</t>
  </si>
  <si>
    <t>Розрахунок обсягів надання послуг підприємств водопровідно-каналізаційного господарства</t>
  </si>
  <si>
    <t>Розрахунок обсягів надання послуг підприємств житлово-комунального господарства</t>
  </si>
  <si>
    <t>Таблиця 9</t>
  </si>
  <si>
    <t>Таблиця 10</t>
  </si>
  <si>
    <t>Таблиця 11</t>
  </si>
  <si>
    <t>Таблиця 12</t>
  </si>
  <si>
    <t>доставка померлих одиноких громадян</t>
  </si>
  <si>
    <t>господарчі товари та інвентар</t>
  </si>
  <si>
    <t>витрати на придбання спец.одягу та ЗІЗ</t>
  </si>
  <si>
    <t>витрати на паливо-мастильні матеріали</t>
  </si>
  <si>
    <t>витрати за вивіз ТПВ, нечистот</t>
  </si>
  <si>
    <t>витрати на канцтовари, офісне приладдя та устаткування</t>
  </si>
  <si>
    <t>Витрати на підвищення кваліфікації та перепідготовку кадрів</t>
  </si>
  <si>
    <t>1041/1</t>
  </si>
  <si>
    <t>1041/2</t>
  </si>
  <si>
    <t>1041/3</t>
  </si>
  <si>
    <t>1041/4</t>
  </si>
  <si>
    <t>1041/5</t>
  </si>
  <si>
    <t>1041/6</t>
  </si>
  <si>
    <t>1042/1</t>
  </si>
  <si>
    <t>1042/2</t>
  </si>
  <si>
    <t>1043/1</t>
  </si>
  <si>
    <t>1043/2</t>
  </si>
  <si>
    <t>сума рядків 1001,1002,1003,1004,1005,1006</t>
  </si>
  <si>
    <t>сума рядків 1021,1022,1023,1024,1025,1026</t>
  </si>
  <si>
    <t>сума рядків 1041,1042, 1043</t>
  </si>
  <si>
    <t>сума рядків 1051-1056</t>
  </si>
  <si>
    <t>1211…</t>
  </si>
  <si>
    <t>сума рядків 1110,1120,1130-1210</t>
  </si>
  <si>
    <t>сума рядків 1111-1116</t>
  </si>
  <si>
    <t>сума рядків 1121-1126</t>
  </si>
  <si>
    <t>сума рядків 1310,1320-1440,1450,1460</t>
  </si>
  <si>
    <t>сума рядків 1140, 1320, 1520</t>
  </si>
  <si>
    <t>сума рядків 1150, 1330, 1530</t>
  </si>
  <si>
    <t>сума рядків 1110, 1311, 1510</t>
  </si>
  <si>
    <t>сума рядків 1120, 1410</t>
  </si>
  <si>
    <t>сума рядків 1200, 1450, 1540</t>
  </si>
  <si>
    <t>сума рядків 1210, 1460, 1550, 1600, 1700</t>
  </si>
  <si>
    <t>5000-5010</t>
  </si>
  <si>
    <t>Усього доходів (сума рядків 1020, 1030, 1040, 1050, 3000, 4000)</t>
  </si>
  <si>
    <t>Валовий прибуток (збиток)</t>
  </si>
  <si>
    <t>Податок на прибуток</t>
  </si>
  <si>
    <t>5040-5050</t>
  </si>
  <si>
    <t>VІІ. Додаткова інформація</t>
  </si>
  <si>
    <t>VІІІ. Коефіцієнтний аналіз</t>
  </si>
  <si>
    <t>Додаток 2.9.</t>
  </si>
  <si>
    <t>витрати на культурно-масові заходи</t>
  </si>
  <si>
    <t>Таблиця 13</t>
  </si>
  <si>
    <t>Залишок коштів на початок періоду</t>
  </si>
  <si>
    <t>Залишок коштів на кінець періоду</t>
  </si>
  <si>
    <t>Інші витрати на збут, в т.ч.:</t>
  </si>
  <si>
    <t>Інші операційні  витрати, усього, у тому числі (розшифрувати):</t>
  </si>
  <si>
    <t>Інші операційні витрати, усього, у тому числі (розшифрувати):</t>
  </si>
  <si>
    <t>5020-1300-1500-1600</t>
  </si>
  <si>
    <t>Додаток 2 до Порядку</t>
  </si>
  <si>
    <t>рядок</t>
  </si>
  <si>
    <t>Питома вага доходу з місцевого бюджету у загальних доходах підприємства (%),  (рядок 1040/рядок 5000)х100</t>
  </si>
  <si>
    <t>Питома вага комунальних витрат у загальних видатках підприємства (%),  ((рядок 1120+1410)/рядок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</si>
  <si>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</si>
  <si>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 ((рядок 2000+2010)/рядок 5010))х100</t>
  </si>
  <si>
    <t>Боярськоїї міської ради</t>
  </si>
  <si>
    <t xml:space="preserve">Рішення виконавчого комітету </t>
  </si>
  <si>
    <t>"ПОГОДЖЕНО"</t>
  </si>
  <si>
    <t>Управління фінансів</t>
  </si>
  <si>
    <t>Боярської міської ради</t>
  </si>
  <si>
    <t>від ____________року №</t>
  </si>
  <si>
    <t xml:space="preserve">Відділ економічного розвитку та тарифної політики </t>
  </si>
  <si>
    <t>виконавчого комітету Боярської міської ради</t>
  </si>
  <si>
    <t>________________          ______________</t>
  </si>
  <si>
    <t>від ___________________ року №</t>
  </si>
  <si>
    <t xml:space="preserve">тис. грн. </t>
  </si>
  <si>
    <t>Керуючий справами виконавчого комітету</t>
  </si>
  <si>
    <t>Г.Саламатіна</t>
  </si>
  <si>
    <t xml:space="preserve">                                                   ВИКОРИСТАННЯ ТРУДОВИХ РЕСУРСІВ                                                             Таблиця 4</t>
  </si>
  <si>
    <t xml:space="preserve">                                                                        (рядок 3100 Фінансового плану)                                                                         Таблиця 1</t>
  </si>
  <si>
    <t>Середньооблікова к-ть штатних працівників</t>
  </si>
  <si>
    <t>постачання теплової енергії</t>
  </si>
  <si>
    <t>на 2023рік</t>
  </si>
  <si>
    <t>Факт 2021року</t>
  </si>
  <si>
    <t>Уточнений фінансовий план 2022 року</t>
  </si>
  <si>
    <t>Підприємство  Комунальне підприємство"Боярське головне виробниче управління житдово-комунального господарства" Боярської міської ради</t>
  </si>
  <si>
    <t xml:space="preserve">за програмою Розвитку благоустрою населених пунктів Боярської міської ради на 2021 - 2025 роки, в т.ч.:
</t>
  </si>
  <si>
    <t>Додаток 2.4. до Фінансового плану на 2023 рік</t>
  </si>
  <si>
    <t>Постачання теплової енергії</t>
  </si>
  <si>
    <t>Управління будинками</t>
  </si>
  <si>
    <t>Благоустрій міста</t>
  </si>
  <si>
    <t>Додаток 2.8. до Фінансового плану на 2023 рік</t>
  </si>
  <si>
    <t>Начальник КП "БГВУЖКГ"</t>
  </si>
  <si>
    <t>В.А.Камінський</t>
  </si>
  <si>
    <t>Виконавець  Козакевич Г.І. тел.41-170</t>
  </si>
  <si>
    <t xml:space="preserve">Постачання теплової енергії </t>
  </si>
  <si>
    <t>Начальник КП"БГВУЖКГ"</t>
  </si>
  <si>
    <t>Додаток 2.7. до Фінансового плану на 2023 рік</t>
  </si>
  <si>
    <t>Виконавець Козакевич Г.І.  тел. 41-170</t>
  </si>
  <si>
    <t>Додаток 2.5.  до Фінансового плану на 2023 рік</t>
  </si>
  <si>
    <t>відсутні</t>
  </si>
  <si>
    <t>Балансова вартість (тис.грн.) на 01.01.2023 р.</t>
  </si>
  <si>
    <t>Задовільний та потребуючий капітального та поточного ремонту</t>
  </si>
  <si>
    <t>Задовільний</t>
  </si>
  <si>
    <t>Начальник КП" БГВУЖКГ"</t>
  </si>
  <si>
    <t>Віктор Камінський</t>
  </si>
  <si>
    <t>Виконавець Остапенко  Т.І. тел.43-420</t>
  </si>
  <si>
    <t>КІА АІ 9814 НО</t>
  </si>
  <si>
    <t>Fiat АІ 6964 СХ</t>
  </si>
  <si>
    <t>Ланос АІ 1356 СТ</t>
  </si>
  <si>
    <t>Ланос АІ 7826 ЕР</t>
  </si>
  <si>
    <t>Для власних потреб</t>
  </si>
  <si>
    <t>факт  2021 року</t>
  </si>
  <si>
    <t>плановий рік 2023</t>
  </si>
  <si>
    <t>Додаток 2.6. до Фінансового плану на  2023 рік</t>
  </si>
  <si>
    <t>Комунального підприємства "Боярське головне виробниче управління житлово-комунального господарства" Брярської міської ради</t>
  </si>
  <si>
    <t>м.Боярка</t>
  </si>
  <si>
    <t>Залишкова вартість (тис.грн.) на 01.01.23р.</t>
  </si>
  <si>
    <t>Комунального підприємства "Боярське головне виробниче управління житлово-комунального господакрства"Боярської міської ради</t>
  </si>
  <si>
    <t xml:space="preserve"> </t>
  </si>
  <si>
    <t>Пояснювальна записка</t>
  </si>
  <si>
    <t>до фінансового плану  КП "БГВУЖКГ" Боярської міської ради</t>
  </si>
  <si>
    <t>на 2023 рік</t>
  </si>
  <si>
    <t>1.Загальні відомості</t>
  </si>
  <si>
    <t xml:space="preserve">     Комунальне підприємство" Боярське головне виробниче управління житлово-</t>
  </si>
  <si>
    <t xml:space="preserve">     Основними сферами діяльності підприємства є:</t>
  </si>
  <si>
    <t>а)виробництво, транспортування та постачання теплової енергії всім категоріям</t>
  </si>
  <si>
    <t xml:space="preserve">комунального господарства" Боярської міської ради зареєстроване в Єдиному  </t>
  </si>
  <si>
    <t>споживачів- населенню, бюджетним установам та організаціям  та іншим</t>
  </si>
  <si>
    <t>споживачам;</t>
  </si>
  <si>
    <t>б)послуги з управління житловими  будиками;</t>
  </si>
  <si>
    <t>в)організація  забезпечення належного рівня  та якості робіт (послуг) з благоусрою</t>
  </si>
  <si>
    <t>Боярської міської територіальної громади в т.р.:належного санітарного стану</t>
  </si>
  <si>
    <t>території громади, виконання комплексу робіт по обслуговуванню вуличного</t>
  </si>
  <si>
    <t>освітлення, по догляду і утриманню зелених насаджень, ослуговування  доріг</t>
  </si>
  <si>
    <t xml:space="preserve">громади а також необхідних  автотранспортних засобів (автомобілів, тракторів </t>
  </si>
  <si>
    <t>та іншої спецтехніки);</t>
  </si>
  <si>
    <t xml:space="preserve">      1.По теплопостачанню - КП "БГВУЖКГ" забезпечує  тепловою енергією населення</t>
  </si>
  <si>
    <t>(багатоквартирні будинки,гуртожитки),бюджетні установи в організації, а також</t>
  </si>
  <si>
    <r>
      <t>інші госпрозрахункові підприємства загальною оплювальною площею</t>
    </r>
    <r>
      <rPr>
        <b/>
        <sz val="11"/>
        <color theme="1"/>
        <rFont val="Calibri"/>
        <family val="2"/>
        <charset val="204"/>
        <scheme val="minor"/>
      </rPr>
      <t xml:space="preserve"> 144,3 </t>
    </r>
    <r>
      <rPr>
        <sz val="11"/>
        <color theme="1"/>
        <rFont val="Calibri"/>
        <family val="2"/>
        <charset val="204"/>
        <scheme val="minor"/>
      </rPr>
      <t>тис.м2.</t>
    </r>
  </si>
  <si>
    <t>Працює три котельні- дві в м.Боярка, а одна в с.Тарасівка.Приєднане теплове</t>
  </si>
  <si>
    <t>навантаження складає 12,15 Гкал/год на опалення:</t>
  </si>
  <si>
    <t>населення -10,6367 Гкал /год.</t>
  </si>
  <si>
    <t>бюджетні установи - 1,6367 Гкал/год.,</t>
  </si>
  <si>
    <t>інші споживачі - 0,3507 Гкал/год.,</t>
  </si>
  <si>
    <t xml:space="preserve">       Довжина теплових мереж   в двохтрубному вимірі  складає 13,8 км, з них 2,5 км </t>
  </si>
  <si>
    <t>знаходяться в аварійному стані і потребують заміни.</t>
  </si>
  <si>
    <t>Котельня "Космос" котли ТВГ-2 од.,</t>
  </si>
  <si>
    <t>потужність  8 Гкал/год кожного.Котельня на Соборності,49а - котли КВН-2,9Гс -4 одиниці,</t>
  </si>
  <si>
    <t>потужність  2,5 Гкал/год кожного.Котельня  в с.Тарасівка котли НІІСТУ-5- 2 одиниці,</t>
  </si>
  <si>
    <t>котли КОЛВ-650 -2 одиницІ. Котли НІІСТУ-0,475 Гкал/год і котли КОЛВІ-0,65 Гкал/год.</t>
  </si>
  <si>
    <t>Комунального пвдприємства "Боярське головне виробниче управління житлово-комунального господарства " Боярської міської ради</t>
  </si>
  <si>
    <t xml:space="preserve">                              Витрати, повязані з використанням власних службових автомобілів </t>
  </si>
  <si>
    <t>Комунального підприємства "Боярське головне виробниче управління житлово-комунального господарства"Боярської міської ради</t>
  </si>
  <si>
    <t>Комунального підприємства"Боярське головне виробниче управління жилово-комунального господарства"</t>
  </si>
  <si>
    <t>факт минулого 2021 року</t>
  </si>
  <si>
    <t>плановий 2023 рік</t>
  </si>
  <si>
    <t>Комунального підприємства "Боярське головне виробниче управління житлово-комунального господарства" Боярської міської ради</t>
  </si>
  <si>
    <t>Начальник КП  "БГВУЖКГ"</t>
  </si>
  <si>
    <t>Віктор Кмінський</t>
  </si>
  <si>
    <t>Додаток 2.3. до Фінансового плану на 2023 рік</t>
  </si>
  <si>
    <t>Додаток 2.2. до Фінансового плану на 2023 рік</t>
  </si>
  <si>
    <t>Додаток 2.1. до Фінансового плану на  2023 рік</t>
  </si>
  <si>
    <t>34702930</t>
  </si>
  <si>
    <t>державному реєстрі юридичних осіб 8 листопада 2006 року,яке утворене на базі</t>
  </si>
  <si>
    <t>відокремленої частини комунальної власності територіальної громади м.Боярки.</t>
  </si>
  <si>
    <t>Підприємство є юридичною особою.Здійснює свою діяльність на засадах повної</t>
  </si>
  <si>
    <t>господарської самостійності,госпрозрахунку, має розрахунковий рахунок в банку,</t>
  </si>
  <si>
    <t>відокремлене майно, самостійний баланс. Є платником податку на загальних</t>
  </si>
  <si>
    <t>умовах,є платником податку на додану вартість(ПДВ).</t>
  </si>
  <si>
    <t xml:space="preserve">     У своїй діяльності підприємство керується Конституцією України,законодавством</t>
  </si>
  <si>
    <t>України, відомчими та іншими нормативними актами,рішеннями міської ради та</t>
  </si>
  <si>
    <t>її виконавчого комітету,розпорядженнями міського голови а також Статутом.</t>
  </si>
  <si>
    <t xml:space="preserve">      Підприємство має цілісні майнові комплекси (котельні і теплові мережі).</t>
  </si>
  <si>
    <t xml:space="preserve">   В котельнях встановлені газові водогрійні котли:</t>
  </si>
  <si>
    <t>:</t>
  </si>
  <si>
    <t>Плановий відпуск теплової енергії на 2023 рік.</t>
  </si>
  <si>
    <t>№ з-/п</t>
  </si>
  <si>
    <t>Приріст +, або</t>
  </si>
  <si>
    <t>Період</t>
  </si>
  <si>
    <t>виміру</t>
  </si>
  <si>
    <t>Одиниці</t>
  </si>
  <si>
    <t>Найменування</t>
  </si>
  <si>
    <t>1.</t>
  </si>
  <si>
    <t>Відпуск теплової енергії,</t>
  </si>
  <si>
    <t>всього, в т.р.</t>
  </si>
  <si>
    <t>тис.Гкал</t>
  </si>
  <si>
    <t>бюджетним установам</t>
  </si>
  <si>
    <t>іншим споживачам</t>
  </si>
  <si>
    <t>прогноз</t>
  </si>
  <si>
    <t>зменшення -%</t>
  </si>
  <si>
    <t xml:space="preserve">   На 2023 рік підприємством заплановано відпустити споживачам 22,687 тис.Гкал теплової</t>
  </si>
  <si>
    <t>енергії, в порівнянні з фактичним відпуском в  2021 роком 16,515 тис.Гкал, тобто більше на</t>
  </si>
  <si>
    <t>2.</t>
  </si>
  <si>
    <t>Чистий дохід від реалізації</t>
  </si>
  <si>
    <t>теплової енергії</t>
  </si>
  <si>
    <t>тис.грн.</t>
  </si>
  <si>
    <t>6,172 тис.Гкал. Збільшення реалізації теплової енергії сталося в зв"язку з прийняттям на</t>
  </si>
  <si>
    <t>обслуговування котельні в с.Тарасівка.</t>
  </si>
  <si>
    <t>Річний  дохід</t>
  </si>
  <si>
    <t>тис.грн.(без ПДВ)</t>
  </si>
  <si>
    <t>Тариф</t>
  </si>
  <si>
    <t>грн/Гкал</t>
  </si>
  <si>
    <t>без ПДВ</t>
  </si>
  <si>
    <t>Тис.Гкал</t>
  </si>
  <si>
    <t>План реалізації теплової енергії  на 2023 рік,в т.р.</t>
  </si>
  <si>
    <t>населенню</t>
  </si>
  <si>
    <t xml:space="preserve">   Плановий дохід від реалізації телової енергії на 2023 рік склав   56799,7 тис.грн.</t>
  </si>
  <si>
    <t>Відшкодування  різниці в тарифах по теплу</t>
  </si>
  <si>
    <t>ЗАТВЕРДЖУЮ</t>
  </si>
  <si>
    <t xml:space="preserve">               Начальник  КП"БГВУЖКГ</t>
  </si>
  <si>
    <t xml:space="preserve">               _______В.А.Камінський</t>
  </si>
  <si>
    <t xml:space="preserve">                  "___"___________2022 р.</t>
  </si>
  <si>
    <t xml:space="preserve">План </t>
  </si>
  <si>
    <t>з ПДВ</t>
  </si>
  <si>
    <t>Січень</t>
  </si>
  <si>
    <t>Лютий</t>
  </si>
  <si>
    <t>Березень</t>
  </si>
  <si>
    <t>Квітень</t>
  </si>
  <si>
    <t>Споживачі</t>
  </si>
  <si>
    <t>Кількість</t>
  </si>
  <si>
    <t>Вартість</t>
  </si>
  <si>
    <t>Сума</t>
  </si>
  <si>
    <t>Гкал</t>
  </si>
  <si>
    <t>1 Гкал</t>
  </si>
  <si>
    <t>(грн.)</t>
  </si>
  <si>
    <t>І-населення</t>
  </si>
  <si>
    <t>ІІ-бюджет</t>
  </si>
  <si>
    <t>ІІІ-інші</t>
  </si>
  <si>
    <t>ІУ-релігійні</t>
  </si>
  <si>
    <t>Разом:</t>
  </si>
  <si>
    <t>Жовтень</t>
  </si>
  <si>
    <t>Листопад</t>
  </si>
  <si>
    <t>Грудень</t>
  </si>
  <si>
    <t>За рік</t>
  </si>
  <si>
    <t>Разом</t>
  </si>
  <si>
    <t>Головний економіст                                                                    Г.І.Козакевич</t>
  </si>
  <si>
    <t xml:space="preserve">                                                          реалізації  послуг з теплопостачання на 2022-2023 роки по КП"БГВУЖКГ"</t>
  </si>
  <si>
    <t>Сплата банкам за обслуговування</t>
  </si>
  <si>
    <t>так</t>
  </si>
  <si>
    <t>інше використання прибутку 2169,58 тис.грн.</t>
  </si>
  <si>
    <t>Найбільша складова тарифу -це витрати на газ-  54,06%.</t>
  </si>
  <si>
    <t xml:space="preserve">  Витрати на виробництво теплової енергії  по собівартості складають 54239,6 тис.грн.</t>
  </si>
  <si>
    <t xml:space="preserve">   Плановий прибуток  складає 2560,11 тис.грн., в т.р. податок на прибуток 390,53 тис.грн.</t>
  </si>
  <si>
    <t>компанія, з 1 квітня 2019 року обслуговує  127 житлових багатоквартирних будинків</t>
  </si>
  <si>
    <t xml:space="preserve">2.По наданню послуг з управління житловими будинками - КП "БГВУЖКГ",  як обслуговуюча </t>
  </si>
  <si>
    <t>загальна площа яких складає   267811,39 кв.м</t>
  </si>
  <si>
    <t xml:space="preserve">ціни на даний час не відповідають фактичним витратам, тому  проводиться робота по </t>
  </si>
  <si>
    <t>для населення тарифи 2018 року, а тому виникає різниця в тарифах,яку потрібно буде</t>
  </si>
  <si>
    <t>відшкодовувати з державного та місцевого бюджетів.   На 2023 рік заплановано</t>
  </si>
  <si>
    <t>відшкодування різниці в тарифах  з державного бюджету 29548,8 тис.грн ( з врахуванням</t>
  </si>
  <si>
    <t>заборгованості за 2021 та 2022 роки) та з місцевого бюджету 18066,4 тис.грн.</t>
  </si>
  <si>
    <t>Відповідно до Мараторію... в цьому опалювальному сезоні знову будуть застосовуватись</t>
  </si>
  <si>
    <t>ІІ.Формування дохідної частини фінансового плану</t>
  </si>
  <si>
    <t xml:space="preserve">Чистий дохід від надання таких послуг в  рік складають 29212,3  тис.грн. Встановлені договірні </t>
  </si>
  <si>
    <t>перерахунку нових кошторисів на всі будинки. Витрати на управління будинками складають</t>
  </si>
  <si>
    <t>37460,0 тис.грн.</t>
  </si>
  <si>
    <t>ІІІ.Формування витратної частини фінансового плану</t>
  </si>
  <si>
    <t xml:space="preserve">   Витратну частину фінансового плану  зформовано на підставі розрахунків фактичних витрат,</t>
  </si>
  <si>
    <t>які склалися в  базовому періоді та норм матеріальних витрат, затверджених  чинним</t>
  </si>
  <si>
    <t xml:space="preserve"> реалізації  робіт і послуг -91699,6 тис.грн, адміністративні витрати -3023,73 тис.грн. та</t>
  </si>
  <si>
    <t xml:space="preserve">                                        За структурою витрат  заплановано:</t>
  </si>
  <si>
    <t>витрати на енергоносії -37277,44 тис.грн</t>
  </si>
  <si>
    <t>заробітна  плата-68346,636 тис. грн.</t>
  </si>
  <si>
    <t>відрахування на соціальні заходи -15036,26 тис.грн.</t>
  </si>
  <si>
    <t>матеріальні витрати -948,03 тис.грн.</t>
  </si>
  <si>
    <t>амортизація -524,31 тис.грн.</t>
  </si>
  <si>
    <t>інші операційні витрати- 30166,22 тис.грн.</t>
  </si>
  <si>
    <t>законодавством. Загальна сума витрат планується  на рівні 126545,43 тис.грн.,з них  собівартість</t>
  </si>
  <si>
    <t>витрати на збут-2522,07 тис.грн.,інші витрати-29300,0 тис.грн.</t>
  </si>
  <si>
    <t>ІУ. Очікувані фінансові результати</t>
  </si>
  <si>
    <t xml:space="preserve">  Валовий  прибуток  від реалізації робі та послуг  планується  в сумі 42704,61 тис.грн.</t>
  </si>
  <si>
    <t>Фінансовий результат від звичайної діяльності до опродаткування  прибуток 37407,63</t>
  </si>
  <si>
    <t>тис.грн. ( з врахуванням планової різниці в тарифах по теплопостачанню).</t>
  </si>
  <si>
    <t xml:space="preserve">                                                                                 </t>
  </si>
  <si>
    <t>Головний економіст                                              Г.І.Козакевич</t>
  </si>
  <si>
    <t>Місцезнаходження  м.Боярка,вул.П.Сагайдачного,30</t>
  </si>
  <si>
    <t>Телефон (045-98)41-170</t>
  </si>
  <si>
    <t>Форма власності  комунальна</t>
  </si>
  <si>
    <t>Укрїна</t>
  </si>
  <si>
    <t>Керівник-   Камінський Віктор Анатолійович</t>
  </si>
  <si>
    <t>інші податки та збори (військовий збір)</t>
  </si>
  <si>
    <t>70.32.0;45.33.1;45.33.2;45.31.0; 70.20.0;40.30.0</t>
  </si>
  <si>
    <t xml:space="preserve">за програмою "Реформування та розвитку житлово-комунального господарства Боярської міської  територіальної громади на 2023 рік"
</t>
  </si>
  <si>
    <t>за програмою відшкодування різниці в тарифах на теплову енергію</t>
  </si>
  <si>
    <t>Виконавець:Козакевич Г.І.тел.(045-98)41-170</t>
  </si>
  <si>
    <t>Начальник КП "БГВУЖКГ"_____________________</t>
  </si>
  <si>
    <t>(1020+1030+1040+1050)-1100</t>
  </si>
  <si>
    <t>ФІНАНСОВИЙ ПЛАН ПІДПРИЄМСТВА НА 2024рік</t>
  </si>
  <si>
    <t>Факт 2022 року</t>
  </si>
  <si>
    <t>Уточнений фінансовий план 2023 року</t>
  </si>
  <si>
    <t>упр.буд.</t>
  </si>
  <si>
    <t>зарплата</t>
  </si>
  <si>
    <t>ліфти</t>
  </si>
  <si>
    <t>ел.госп.</t>
  </si>
  <si>
    <t>гуртож.</t>
  </si>
  <si>
    <t>АРД</t>
  </si>
  <si>
    <t>благоустр.</t>
  </si>
  <si>
    <t>тепло</t>
  </si>
  <si>
    <t>заг.виробн.</t>
  </si>
  <si>
    <t xml:space="preserve"> фонд з.п. на рік без адмін.і збуту</t>
  </si>
  <si>
    <t>адмін</t>
  </si>
  <si>
    <t>збут</t>
  </si>
  <si>
    <t>всього фонд з.п. на рік з 30% премії</t>
  </si>
  <si>
    <t>фвкт. З.п.за</t>
  </si>
  <si>
    <t>11 міс.2023</t>
  </si>
  <si>
    <t>Галицька</t>
  </si>
  <si>
    <t>зарплата з підвищенням з 1 січня н 12 %</t>
  </si>
  <si>
    <t>прямі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</si>
</sst>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_₴_-;\-* #,##0.00\ _₴_-;_-* &quot;-&quot;??\ _₴_-;_-@_-"/>
    <numFmt numFmtId="165" formatCode="_(* #,##0.0_);_(* \(#,##0.0\);_(* &quot;-&quot;_);_(@_)"/>
    <numFmt numFmtId="166" formatCode="_(* #,##0_);_(* \(#,##0\);_(* &quot;-&quot;_);_(@_)"/>
    <numFmt numFmtId="167" formatCode="#,##0.0"/>
    <numFmt numFmtId="168" formatCode="_(* #,##0.0_);_(* \(#,##0.0\);_(* &quot;-&quot;??_);_(@_)"/>
    <numFmt numFmtId="169" formatCode="0.000"/>
    <numFmt numFmtId="170" formatCode="0000"/>
    <numFmt numFmtId="171" formatCode="_-* #,##0.0\ _₴_-;\-* #,##0.0\ _₴_-;_-* &quot;-&quot;?\ _₴_-;_-@_-"/>
    <numFmt numFmtId="172" formatCode="_(* #,##0.000_);_(* \(#,##0.000\);_(* &quot;-&quot;??_);_(@_)"/>
    <numFmt numFmtId="173" formatCode="0.00000"/>
    <numFmt numFmtId="174" formatCode="0.0000"/>
    <numFmt numFmtId="175" formatCode="0.0"/>
    <numFmt numFmtId="176" formatCode="_(* #,##0.0000_);_(* \(#,##0.0000\);_(* &quot;-&quot;??_);_(@_)"/>
    <numFmt numFmtId="177" formatCode="_(* #,##0.00_);_(* \(#,##0.00\);_(* &quot;-&quot;_);_(@_)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3" fillId="0" borderId="0"/>
  </cellStyleXfs>
  <cellXfs count="4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 shrinkToFit="1"/>
    </xf>
    <xf numFmtId="2" fontId="10" fillId="2" borderId="1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4" fillId="0" borderId="0" xfId="0" applyFont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Alignment="1"/>
    <xf numFmtId="0" fontId="1" fillId="0" borderId="0" xfId="0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 wrapText="1"/>
    </xf>
    <xf numFmtId="168" fontId="1" fillId="0" borderId="0" xfId="0" applyNumberFormat="1" applyFont="1" applyFill="1" applyBorder="1" applyAlignment="1">
      <alignment vertical="center" wrapText="1"/>
    </xf>
    <xf numFmtId="0" fontId="0" fillId="0" borderId="0" xfId="0" applyAlignment="1"/>
    <xf numFmtId="0" fontId="21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5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7" fontId="1" fillId="0" borderId="0" xfId="0" applyNumberFormat="1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69" fontId="8" fillId="0" borderId="1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169" fontId="2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169" fontId="8" fillId="2" borderId="1" xfId="0" applyNumberFormat="1" applyFont="1" applyFill="1" applyBorder="1" applyAlignment="1">
      <alignment horizontal="center" vertical="center" wrapText="1"/>
    </xf>
    <xf numFmtId="0" fontId="0" fillId="0" borderId="8" xfId="0" applyBorder="1" applyAlignment="1"/>
    <xf numFmtId="2" fontId="10" fillId="0" borderId="1" xfId="0" applyNumberFormat="1" applyFont="1" applyBorder="1" applyAlignment="1">
      <alignment horizontal="center" vertical="center" wrapText="1"/>
    </xf>
    <xf numFmtId="167" fontId="1" fillId="0" borderId="8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6" fillId="3" borderId="0" xfId="1" applyFont="1" applyFill="1" applyBorder="1"/>
    <xf numFmtId="0" fontId="26" fillId="3" borderId="0" xfId="1" applyFont="1" applyFill="1" applyBorder="1" applyAlignment="1">
      <alignment horizontal="center"/>
    </xf>
    <xf numFmtId="0" fontId="27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8" fillId="2" borderId="0" xfId="0" applyFont="1" applyFill="1" applyAlignment="1"/>
    <xf numFmtId="0" fontId="25" fillId="0" borderId="8" xfId="0" applyFont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21" fillId="0" borderId="8" xfId="0" applyFont="1" applyBorder="1" applyAlignment="1"/>
    <xf numFmtId="0" fontId="9" fillId="0" borderId="8" xfId="0" applyFont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0" fillId="2" borderId="0" xfId="0" applyFill="1"/>
    <xf numFmtId="0" fontId="8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1" fillId="0" borderId="8" xfId="0" quotePrefix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1" fillId="3" borderId="0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left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2" borderId="0" xfId="0" applyFont="1" applyFill="1" applyAlignment="1">
      <alignment horizontal="right"/>
    </xf>
    <xf numFmtId="0" fontId="3" fillId="2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1" fillId="0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1"/>
    </xf>
    <xf numFmtId="0" fontId="3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/>
    </xf>
    <xf numFmtId="0" fontId="8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 shrinkToFit="1"/>
    </xf>
    <xf numFmtId="0" fontId="36" fillId="2" borderId="5" xfId="0" applyFont="1" applyFill="1" applyBorder="1" applyAlignment="1" applyProtection="1">
      <alignment horizontal="left" vertical="center" wrapText="1"/>
      <protection locked="0"/>
    </xf>
    <xf numFmtId="170" fontId="36" fillId="0" borderId="5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8" fillId="2" borderId="1" xfId="0" applyFont="1" applyFill="1" applyBorder="1" applyAlignment="1">
      <alignment horizontal="left" vertical="center" wrapText="1"/>
    </xf>
    <xf numFmtId="0" fontId="38" fillId="2" borderId="1" xfId="0" quotePrefix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left" vertical="center" wrapText="1"/>
    </xf>
    <xf numFmtId="0" fontId="39" fillId="2" borderId="1" xfId="0" quotePrefix="1" applyFont="1" applyFill="1" applyBorder="1" applyAlignment="1">
      <alignment horizontal="center" vertical="center"/>
    </xf>
    <xf numFmtId="0" fontId="36" fillId="2" borderId="1" xfId="0" quotePrefix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wrapText="1"/>
    </xf>
    <xf numFmtId="0" fontId="38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right" vertical="center" wrapText="1"/>
    </xf>
    <xf numFmtId="0" fontId="40" fillId="2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quotePrefix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left" vertical="center" wrapText="1" indent="1"/>
    </xf>
    <xf numFmtId="0" fontId="38" fillId="0" borderId="1" xfId="0" quotePrefix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 wrapText="1" indent="1"/>
    </xf>
    <xf numFmtId="0" fontId="41" fillId="0" borderId="1" xfId="0" applyFont="1" applyFill="1" applyBorder="1" applyAlignment="1">
      <alignment horizontal="left" vertical="center" wrapText="1" indent="1"/>
    </xf>
    <xf numFmtId="0" fontId="32" fillId="0" borderId="1" xfId="0" applyFont="1" applyBorder="1" applyAlignment="1">
      <alignment horizontal="center"/>
    </xf>
    <xf numFmtId="0" fontId="43" fillId="0" borderId="1" xfId="0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center" wrapText="1"/>
    </xf>
    <xf numFmtId="0" fontId="43" fillId="2" borderId="1" xfId="0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wrapText="1"/>
    </xf>
    <xf numFmtId="0" fontId="44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wrapText="1"/>
    </xf>
    <xf numFmtId="0" fontId="44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horizontal="center" wrapText="1"/>
    </xf>
    <xf numFmtId="0" fontId="33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wrapText="1"/>
    </xf>
    <xf numFmtId="0" fontId="33" fillId="2" borderId="1" xfId="0" applyFont="1" applyFill="1" applyBorder="1" applyAlignment="1">
      <alignment wrapText="1"/>
    </xf>
    <xf numFmtId="0" fontId="44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 indent="1"/>
    </xf>
    <xf numFmtId="0" fontId="38" fillId="0" borderId="1" xfId="0" applyFont="1" applyFill="1" applyBorder="1" applyAlignment="1">
      <alignment horizontal="left" vertical="center" wrapText="1"/>
    </xf>
    <xf numFmtId="0" fontId="36" fillId="4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left" vertical="center" wrapText="1"/>
    </xf>
    <xf numFmtId="0" fontId="38" fillId="5" borderId="1" xfId="0" applyFont="1" applyFill="1" applyBorder="1" applyAlignment="1">
      <alignment horizontal="left" wrapText="1"/>
    </xf>
    <xf numFmtId="0" fontId="38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2" fontId="33" fillId="2" borderId="1" xfId="0" applyNumberFormat="1" applyFont="1" applyFill="1" applyBorder="1" applyAlignment="1">
      <alignment horizontal="left" vertical="center" wrapText="1"/>
    </xf>
    <xf numFmtId="0" fontId="38" fillId="5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wrapText="1"/>
    </xf>
    <xf numFmtId="0" fontId="40" fillId="0" borderId="1" xfId="0" applyFont="1" applyFill="1" applyBorder="1" applyAlignment="1">
      <alignment wrapText="1"/>
    </xf>
    <xf numFmtId="0" fontId="38" fillId="0" borderId="1" xfId="0" applyFont="1" applyFill="1" applyBorder="1" applyAlignment="1">
      <alignment horizontal="left" wrapText="1"/>
    </xf>
    <xf numFmtId="0" fontId="45" fillId="0" borderId="1" xfId="0" applyFont="1" applyBorder="1" applyAlignment="1">
      <alignment horizontal="right"/>
    </xf>
    <xf numFmtId="0" fontId="40" fillId="0" borderId="1" xfId="0" applyFont="1" applyBorder="1" applyAlignment="1">
      <alignment horizontal="left" wrapText="1"/>
    </xf>
    <xf numFmtId="0" fontId="38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Fill="1" applyBorder="1" applyAlignment="1">
      <alignment horizontal="center" wrapText="1"/>
    </xf>
    <xf numFmtId="0" fontId="4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/>
    <xf numFmtId="165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wrapText="1"/>
    </xf>
    <xf numFmtId="171" fontId="4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vertical="center" wrapText="1"/>
    </xf>
    <xf numFmtId="0" fontId="47" fillId="0" borderId="0" xfId="0" applyFont="1"/>
    <xf numFmtId="1" fontId="8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0" fillId="0" borderId="18" xfId="0" applyBorder="1"/>
    <xf numFmtId="0" fontId="0" fillId="0" borderId="8" xfId="0" applyBorder="1"/>
    <xf numFmtId="0" fontId="0" fillId="0" borderId="19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173" fontId="0" fillId="0" borderId="0" xfId="0" applyNumberFormat="1"/>
    <xf numFmtId="174" fontId="0" fillId="0" borderId="0" xfId="0" applyNumberFormat="1"/>
    <xf numFmtId="0" fontId="0" fillId="0" borderId="9" xfId="0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0" fillId="0" borderId="6" xfId="0" applyBorder="1"/>
    <xf numFmtId="0" fontId="0" fillId="0" borderId="20" xfId="0" applyBorder="1"/>
    <xf numFmtId="0" fontId="0" fillId="0" borderId="0" xfId="0" applyBorder="1"/>
    <xf numFmtId="0" fontId="0" fillId="0" borderId="15" xfId="0" applyBorder="1"/>
    <xf numFmtId="0" fontId="0" fillId="0" borderId="5" xfId="0" applyBorder="1" applyAlignment="1">
      <alignment horizontal="center"/>
    </xf>
    <xf numFmtId="175" fontId="0" fillId="0" borderId="9" xfId="0" applyNumberFormat="1" applyBorder="1" applyAlignment="1">
      <alignment horizontal="center"/>
    </xf>
    <xf numFmtId="16" fontId="0" fillId="0" borderId="9" xfId="0" applyNumberFormat="1" applyBorder="1"/>
    <xf numFmtId="0" fontId="0" fillId="0" borderId="9" xfId="0" applyBorder="1"/>
    <xf numFmtId="174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75" fontId="0" fillId="0" borderId="5" xfId="0" applyNumberFormat="1" applyBorder="1" applyAlignment="1">
      <alignment horizontal="center"/>
    </xf>
    <xf numFmtId="175" fontId="0" fillId="0" borderId="7" xfId="0" applyNumberFormat="1" applyBorder="1" applyAlignment="1">
      <alignment horizontal="center"/>
    </xf>
    <xf numFmtId="175" fontId="0" fillId="0" borderId="0" xfId="0" applyNumberFormat="1"/>
    <xf numFmtId="0" fontId="0" fillId="0" borderId="8" xfId="0" applyBorder="1" applyAlignment="1">
      <alignment horizontal="center"/>
    </xf>
    <xf numFmtId="171" fontId="4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9" xfId="0" applyFont="1" applyBorder="1"/>
    <xf numFmtId="0" fontId="0" fillId="0" borderId="0" xfId="0" applyBorder="1" applyAlignment="1">
      <alignment horizontal="center"/>
    </xf>
    <xf numFmtId="0" fontId="47" fillId="0" borderId="5" xfId="0" applyFont="1" applyBorder="1"/>
    <xf numFmtId="0" fontId="47" fillId="0" borderId="7" xfId="0" applyFon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47" fillId="0" borderId="1" xfId="0" applyFont="1" applyBorder="1"/>
    <xf numFmtId="0" fontId="0" fillId="0" borderId="1" xfId="0" applyBorder="1" applyAlignment="1"/>
    <xf numFmtId="2" fontId="0" fillId="0" borderId="1" xfId="0" applyNumberFormat="1" applyBorder="1" applyAlignment="1">
      <alignment horizontal="center"/>
    </xf>
    <xf numFmtId="175" fontId="0" fillId="0" borderId="0" xfId="0" applyNumberFormat="1" applyAlignment="1">
      <alignment horizontal="center"/>
    </xf>
    <xf numFmtId="0" fontId="47" fillId="0" borderId="2" xfId="0" applyFont="1" applyBorder="1"/>
    <xf numFmtId="0" fontId="47" fillId="0" borderId="17" xfId="0" applyFont="1" applyBorder="1"/>
    <xf numFmtId="175" fontId="0" fillId="0" borderId="1" xfId="0" applyNumberFormat="1" applyBorder="1" applyAlignment="1">
      <alignment horizontal="center"/>
    </xf>
    <xf numFmtId="2" fontId="1" fillId="2" borderId="1" xfId="0" quotePrefix="1" applyNumberFormat="1" applyFont="1" applyFill="1" applyBorder="1" applyAlignment="1">
      <alignment horizontal="center" vertical="center"/>
    </xf>
    <xf numFmtId="175" fontId="9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175" fontId="8" fillId="0" borderId="1" xfId="0" applyNumberFormat="1" applyFont="1" applyBorder="1" applyAlignment="1">
      <alignment wrapText="1"/>
    </xf>
    <xf numFmtId="174" fontId="8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174" fontId="8" fillId="0" borderId="1" xfId="0" applyNumberFormat="1" applyFont="1" applyBorder="1" applyAlignment="1">
      <alignment horizontal="center" wrapText="1"/>
    </xf>
    <xf numFmtId="2" fontId="8" fillId="2" borderId="1" xfId="0" applyNumberFormat="1" applyFont="1" applyFill="1" applyBorder="1" applyAlignment="1">
      <alignment wrapText="1"/>
    </xf>
    <xf numFmtId="165" fontId="8" fillId="0" borderId="1" xfId="0" applyNumberFormat="1" applyFont="1" applyBorder="1" applyAlignment="1">
      <alignment wrapText="1"/>
    </xf>
    <xf numFmtId="171" fontId="8" fillId="0" borderId="1" xfId="0" applyNumberFormat="1" applyFont="1" applyBorder="1" applyAlignment="1">
      <alignment wrapText="1"/>
    </xf>
    <xf numFmtId="169" fontId="8" fillId="2" borderId="1" xfId="0" applyNumberFormat="1" applyFont="1" applyFill="1" applyBorder="1" applyAlignment="1">
      <alignment wrapText="1"/>
    </xf>
    <xf numFmtId="2" fontId="8" fillId="2" borderId="1" xfId="0" applyNumberFormat="1" applyFont="1" applyFill="1" applyBorder="1"/>
    <xf numFmtId="174" fontId="8" fillId="2" borderId="1" xfId="0" applyNumberFormat="1" applyFont="1" applyFill="1" applyBorder="1"/>
    <xf numFmtId="172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169" fontId="8" fillId="2" borderId="1" xfId="0" applyNumberFormat="1" applyFont="1" applyFill="1" applyBorder="1"/>
    <xf numFmtId="171" fontId="15" fillId="2" borderId="1" xfId="0" applyNumberFormat="1" applyFont="1" applyFill="1" applyBorder="1" applyAlignment="1">
      <alignment wrapText="1"/>
    </xf>
    <xf numFmtId="164" fontId="15" fillId="2" borderId="1" xfId="0" applyNumberFormat="1" applyFont="1" applyFill="1" applyBorder="1" applyAlignment="1">
      <alignment wrapText="1"/>
    </xf>
    <xf numFmtId="164" fontId="15" fillId="0" borderId="1" xfId="0" applyNumberFormat="1" applyFont="1" applyBorder="1" applyAlignment="1">
      <alignment wrapText="1"/>
    </xf>
    <xf numFmtId="16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75" fontId="8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/>
    <xf numFmtId="0" fontId="49" fillId="0" borderId="0" xfId="0" applyFont="1"/>
    <xf numFmtId="0" fontId="50" fillId="0" borderId="0" xfId="0" applyFont="1"/>
    <xf numFmtId="1" fontId="8" fillId="0" borderId="1" xfId="0" applyNumberFormat="1" applyFont="1" applyBorder="1" applyAlignment="1">
      <alignment wrapText="1"/>
    </xf>
    <xf numFmtId="1" fontId="10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17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7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5" fontId="10" fillId="2" borderId="1" xfId="0" applyNumberFormat="1" applyFont="1" applyFill="1" applyBorder="1" applyAlignment="1">
      <alignment horizontal="center" wrapText="1"/>
    </xf>
    <xf numFmtId="175" fontId="8" fillId="2" borderId="1" xfId="0" applyNumberFormat="1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164" fontId="15" fillId="2" borderId="1" xfId="0" applyNumberFormat="1" applyFont="1" applyFill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175" fontId="15" fillId="2" borderId="1" xfId="0" applyNumberFormat="1" applyFont="1" applyFill="1" applyBorder="1" applyAlignment="1">
      <alignment horizontal="center" wrapText="1"/>
    </xf>
    <xf numFmtId="175" fontId="8" fillId="2" borderId="1" xfId="0" applyNumberFormat="1" applyFont="1" applyFill="1" applyBorder="1"/>
    <xf numFmtId="169" fontId="5" fillId="0" borderId="1" xfId="0" applyNumberFormat="1" applyFont="1" applyFill="1" applyBorder="1" applyAlignment="1">
      <alignment horizontal="center" vertical="center" wrapText="1"/>
    </xf>
    <xf numFmtId="169" fontId="8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9" fontId="0" fillId="0" borderId="0" xfId="0" applyNumberFormat="1"/>
    <xf numFmtId="2" fontId="47" fillId="0" borderId="0" xfId="0" applyNumberFormat="1" applyFont="1"/>
    <xf numFmtId="2" fontId="51" fillId="0" borderId="1" xfId="0" applyNumberFormat="1" applyFont="1" applyBorder="1" applyAlignment="1">
      <alignment horizont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1" fontId="0" fillId="0" borderId="0" xfId="0" applyNumberFormat="1"/>
    <xf numFmtId="0" fontId="8" fillId="2" borderId="9" xfId="0" applyFont="1" applyFill="1" applyBorder="1" applyAlignment="1">
      <alignment wrapText="1"/>
    </xf>
    <xf numFmtId="0" fontId="47" fillId="0" borderId="2" xfId="0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center"/>
    </xf>
    <xf numFmtId="175" fontId="4" fillId="0" borderId="2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67" fontId="1" fillId="0" borderId="0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167" fontId="1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left" wrapText="1"/>
    </xf>
    <xf numFmtId="0" fontId="17" fillId="0" borderId="8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shrinkToFit="1"/>
    </xf>
    <xf numFmtId="0" fontId="14" fillId="0" borderId="0" xfId="0" applyFont="1" applyAlignment="1">
      <alignment horizontal="left"/>
    </xf>
    <xf numFmtId="0" fontId="8" fillId="2" borderId="0" xfId="0" applyFont="1" applyFill="1" applyAlignment="1">
      <alignment horizontal="right"/>
    </xf>
    <xf numFmtId="0" fontId="14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9" fillId="0" borderId="8" xfId="0" applyFont="1" applyBorder="1" applyAlignment="1">
      <alignment horizontal="left"/>
    </xf>
    <xf numFmtId="167" fontId="28" fillId="0" borderId="0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36" fillId="0" borderId="1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1" fillId="3" borderId="0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36" fillId="3" borderId="14" xfId="1" applyFont="1" applyFill="1" applyBorder="1" applyAlignment="1">
      <alignment horizontal="center" vertical="center" wrapText="1"/>
    </xf>
    <xf numFmtId="0" fontId="36" fillId="3" borderId="0" xfId="1" applyFont="1" applyFill="1" applyBorder="1" applyAlignment="1">
      <alignment horizontal="center" vertical="center" wrapText="1"/>
    </xf>
    <xf numFmtId="0" fontId="36" fillId="3" borderId="15" xfId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</cellXfs>
  <cellStyles count="2">
    <cellStyle name="Звичайний 2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8"/>
  <sheetViews>
    <sheetView tabSelected="1" workbookViewId="0"/>
  </sheetViews>
  <sheetFormatPr defaultRowHeight="15" x14ac:dyDescent="0.25"/>
  <cols>
    <col min="1" max="1" width="35.7109375" customWidth="1"/>
    <col min="2" max="2" width="8" customWidth="1"/>
    <col min="3" max="3" width="11.5703125" customWidth="1"/>
    <col min="4" max="4" width="12.7109375" customWidth="1"/>
    <col min="5" max="5" width="13.85546875" customWidth="1"/>
    <col min="6" max="6" width="12.7109375" customWidth="1"/>
    <col min="7" max="8" width="13" customWidth="1"/>
    <col min="9" max="9" width="12.85546875" customWidth="1"/>
    <col min="10" max="10" width="25.5703125" customWidth="1"/>
    <col min="11" max="11" width="11.85546875" bestFit="1" customWidth="1"/>
    <col min="12" max="12" width="10.85546875" bestFit="1" customWidth="1"/>
    <col min="13" max="13" width="11.42578125" customWidth="1"/>
    <col min="14" max="14" width="12.5703125" bestFit="1" customWidth="1"/>
    <col min="15" max="15" width="12.7109375" customWidth="1"/>
    <col min="21" max="21" width="13.85546875" customWidth="1"/>
    <col min="24" max="24" width="12.140625" customWidth="1"/>
    <col min="27" max="27" width="12.28515625" customWidth="1"/>
    <col min="30" max="30" width="12.140625" customWidth="1"/>
  </cols>
  <sheetData>
    <row r="1" spans="1:30" x14ac:dyDescent="0.25">
      <c r="A1" s="79"/>
      <c r="J1" s="73" t="s">
        <v>452</v>
      </c>
    </row>
    <row r="2" spans="1:30" x14ac:dyDescent="0.25">
      <c r="A2" s="1" t="s">
        <v>461</v>
      </c>
      <c r="B2" s="2"/>
      <c r="C2" s="88"/>
      <c r="D2" s="2"/>
      <c r="E2" s="1"/>
      <c r="F2" s="1"/>
      <c r="G2" s="1"/>
      <c r="H2" s="417" t="s">
        <v>0</v>
      </c>
      <c r="I2" s="417"/>
      <c r="J2" s="4"/>
    </row>
    <row r="3" spans="1:30" ht="15.75" x14ac:dyDescent="0.25">
      <c r="A3" s="1" t="s">
        <v>462</v>
      </c>
      <c r="B3" s="2"/>
      <c r="C3" s="88"/>
      <c r="D3" s="2"/>
      <c r="E3" s="1"/>
      <c r="F3" s="1"/>
      <c r="G3" s="1"/>
      <c r="H3" s="5" t="s">
        <v>459</v>
      </c>
      <c r="I3" s="6"/>
      <c r="J3" s="6"/>
      <c r="AA3" s="303"/>
      <c r="AB3" s="303" t="s">
        <v>602</v>
      </c>
    </row>
    <row r="4" spans="1:30" ht="15.75" x14ac:dyDescent="0.25">
      <c r="A4" s="1" t="s">
        <v>463</v>
      </c>
      <c r="B4" s="2"/>
      <c r="C4" s="88"/>
      <c r="D4" s="2"/>
      <c r="E4" s="1"/>
      <c r="F4" s="1"/>
      <c r="G4" s="1"/>
      <c r="H4" s="418" t="s">
        <v>458</v>
      </c>
      <c r="I4" s="418"/>
      <c r="J4" s="418"/>
      <c r="AA4" s="303" t="s">
        <v>603</v>
      </c>
      <c r="AB4" s="303"/>
    </row>
    <row r="5" spans="1:30" ht="15.75" x14ac:dyDescent="0.25">
      <c r="B5" s="2"/>
      <c r="C5" s="88"/>
      <c r="D5" s="2"/>
      <c r="E5" s="1"/>
      <c r="F5" s="1"/>
      <c r="G5" s="1"/>
      <c r="H5" s="419" t="s">
        <v>467</v>
      </c>
      <c r="I5" s="419"/>
      <c r="J5" s="419"/>
      <c r="AA5" s="303" t="s">
        <v>604</v>
      </c>
      <c r="AB5" s="303"/>
    </row>
    <row r="6" spans="1:30" ht="15.75" x14ac:dyDescent="0.25">
      <c r="A6" s="1" t="s">
        <v>1</v>
      </c>
      <c r="B6" s="2"/>
      <c r="C6" s="88"/>
      <c r="D6" s="2"/>
      <c r="E6" s="1"/>
      <c r="F6" s="1"/>
      <c r="G6" s="1"/>
      <c r="H6" s="7" t="s">
        <v>1</v>
      </c>
      <c r="I6" s="260"/>
      <c r="J6" s="260"/>
      <c r="AA6" s="303" t="s">
        <v>605</v>
      </c>
      <c r="AB6" s="303"/>
    </row>
    <row r="7" spans="1:30" x14ac:dyDescent="0.25">
      <c r="A7" s="1" t="s">
        <v>460</v>
      </c>
      <c r="B7" s="2"/>
      <c r="C7" s="88"/>
      <c r="D7" s="2"/>
      <c r="E7" s="1"/>
      <c r="F7" s="1"/>
      <c r="G7" s="1"/>
      <c r="H7" s="418"/>
      <c r="I7" s="418"/>
      <c r="J7" s="418"/>
      <c r="AA7" s="268"/>
      <c r="AB7" s="268"/>
    </row>
    <row r="8" spans="1:30" x14ac:dyDescent="0.25">
      <c r="A8" s="1" t="s">
        <v>464</v>
      </c>
      <c r="B8" s="2"/>
      <c r="C8" s="88"/>
      <c r="D8" s="2"/>
      <c r="E8" s="1"/>
      <c r="F8" s="1"/>
      <c r="G8" s="1"/>
      <c r="I8" s="7"/>
      <c r="J8" s="7"/>
      <c r="U8" s="268"/>
      <c r="V8" s="268"/>
      <c r="W8" s="268"/>
      <c r="X8" s="268"/>
      <c r="Y8" s="268" t="s">
        <v>606</v>
      </c>
      <c r="Z8" s="268"/>
      <c r="AA8" s="268"/>
      <c r="AB8" s="268"/>
    </row>
    <row r="9" spans="1:30" x14ac:dyDescent="0.25">
      <c r="A9" s="1" t="s">
        <v>465</v>
      </c>
      <c r="B9" s="2"/>
      <c r="C9" s="88"/>
      <c r="D9" s="2"/>
      <c r="E9" s="1"/>
      <c r="F9" s="1"/>
      <c r="G9" s="1"/>
      <c r="H9" s="8" t="s">
        <v>2</v>
      </c>
      <c r="I9" s="388"/>
      <c r="J9" s="388"/>
      <c r="U9" s="268" t="s">
        <v>630</v>
      </c>
      <c r="V9" s="268"/>
      <c r="W9" s="268"/>
      <c r="X9" s="268"/>
      <c r="Y9" s="268"/>
      <c r="Z9" s="268"/>
      <c r="AA9" s="268"/>
      <c r="AB9" s="268"/>
    </row>
    <row r="10" spans="1:30" x14ac:dyDescent="0.25">
      <c r="A10" s="1" t="s">
        <v>463</v>
      </c>
      <c r="B10" s="2"/>
      <c r="C10" s="88"/>
      <c r="D10" s="2"/>
      <c r="E10" s="1"/>
      <c r="F10" s="1"/>
      <c r="G10" s="1"/>
      <c r="H10" s="8" t="s">
        <v>362</v>
      </c>
      <c r="I10" s="388"/>
      <c r="J10" s="388"/>
      <c r="U10" s="268"/>
      <c r="V10" s="268"/>
      <c r="W10" s="268"/>
      <c r="X10" s="268"/>
      <c r="Y10" s="268" t="s">
        <v>607</v>
      </c>
      <c r="Z10" s="268"/>
      <c r="AA10" s="268"/>
      <c r="AB10" s="268"/>
    </row>
    <row r="11" spans="1:30" x14ac:dyDescent="0.25">
      <c r="A11" s="1"/>
      <c r="B11" s="2"/>
      <c r="C11" s="88"/>
      <c r="D11" s="2"/>
      <c r="E11" s="1"/>
      <c r="F11" s="1"/>
      <c r="G11" s="1"/>
      <c r="H11" s="8" t="s">
        <v>3</v>
      </c>
      <c r="I11" s="388"/>
      <c r="J11" s="388"/>
    </row>
    <row r="12" spans="1:30" x14ac:dyDescent="0.25">
      <c r="A12" s="1" t="s">
        <v>466</v>
      </c>
      <c r="B12" s="2"/>
      <c r="C12" s="88"/>
      <c r="D12" s="2"/>
      <c r="E12" s="1"/>
      <c r="F12" s="1"/>
      <c r="G12" s="1"/>
      <c r="H12" s="388" t="s">
        <v>4</v>
      </c>
      <c r="I12" s="388"/>
      <c r="J12" s="388"/>
      <c r="R12" s="272"/>
      <c r="S12" s="377" t="s">
        <v>608</v>
      </c>
      <c r="T12" s="378"/>
      <c r="U12" s="379"/>
      <c r="V12" s="377" t="s">
        <v>609</v>
      </c>
      <c r="W12" s="378"/>
      <c r="X12" s="379"/>
      <c r="Y12" s="377" t="s">
        <v>610</v>
      </c>
      <c r="Z12" s="378"/>
      <c r="AA12" s="379"/>
      <c r="AB12" s="377" t="s">
        <v>611</v>
      </c>
      <c r="AC12" s="378"/>
      <c r="AD12" s="379"/>
    </row>
    <row r="13" spans="1:30" x14ac:dyDescent="0.25">
      <c r="A13" s="1"/>
      <c r="B13" s="416"/>
      <c r="C13" s="416"/>
      <c r="D13" s="416"/>
      <c r="E13" s="416"/>
      <c r="F13" s="1"/>
      <c r="G13" s="1"/>
      <c r="H13" s="388" t="s">
        <v>5</v>
      </c>
      <c r="I13" s="388"/>
      <c r="J13" s="388"/>
      <c r="R13" s="304" t="s">
        <v>612</v>
      </c>
      <c r="S13" s="282" t="s">
        <v>613</v>
      </c>
      <c r="T13" s="305" t="s">
        <v>614</v>
      </c>
      <c r="U13" s="282" t="s">
        <v>615</v>
      </c>
      <c r="V13" s="282" t="s">
        <v>613</v>
      </c>
      <c r="W13" s="305" t="s">
        <v>614</v>
      </c>
      <c r="X13" s="282" t="s">
        <v>615</v>
      </c>
      <c r="Y13" s="282" t="s">
        <v>613</v>
      </c>
      <c r="Z13" s="305" t="s">
        <v>614</v>
      </c>
      <c r="AA13" s="282" t="s">
        <v>615</v>
      </c>
      <c r="AB13" s="282" t="s">
        <v>613</v>
      </c>
      <c r="AC13" s="305" t="s">
        <v>614</v>
      </c>
      <c r="AD13" s="282" t="s">
        <v>615</v>
      </c>
    </row>
    <row r="14" spans="1:30" ht="51" customHeight="1" x14ac:dyDescent="0.25">
      <c r="A14" s="411" t="s">
        <v>478</v>
      </c>
      <c r="B14" s="389"/>
      <c r="C14" s="389"/>
      <c r="D14" s="389"/>
      <c r="E14" s="389"/>
      <c r="F14" s="389"/>
      <c r="G14" s="414"/>
      <c r="H14" s="11" t="s">
        <v>6</v>
      </c>
      <c r="I14" s="415" t="s">
        <v>556</v>
      </c>
      <c r="J14" s="415"/>
      <c r="R14" s="306"/>
      <c r="S14" s="292" t="s">
        <v>616</v>
      </c>
      <c r="T14" s="301" t="s">
        <v>617</v>
      </c>
      <c r="U14" s="292" t="s">
        <v>618</v>
      </c>
      <c r="V14" s="292" t="s">
        <v>616</v>
      </c>
      <c r="W14" s="301" t="s">
        <v>617</v>
      </c>
      <c r="X14" s="292" t="s">
        <v>618</v>
      </c>
      <c r="Y14" s="292" t="s">
        <v>616</v>
      </c>
      <c r="Z14" s="301" t="s">
        <v>617</v>
      </c>
      <c r="AA14" s="292" t="s">
        <v>618</v>
      </c>
      <c r="AB14" s="292" t="s">
        <v>616</v>
      </c>
      <c r="AC14" s="301" t="s">
        <v>617</v>
      </c>
      <c r="AD14" s="292" t="s">
        <v>618</v>
      </c>
    </row>
    <row r="15" spans="1:30" x14ac:dyDescent="0.25">
      <c r="A15" s="9" t="s">
        <v>7</v>
      </c>
      <c r="B15" s="402"/>
      <c r="C15" s="402"/>
      <c r="D15" s="402"/>
      <c r="E15" s="402"/>
      <c r="F15" s="12"/>
      <c r="G15" s="13"/>
      <c r="H15" s="8" t="s">
        <v>8</v>
      </c>
      <c r="I15" s="388">
        <v>150</v>
      </c>
      <c r="J15" s="388"/>
      <c r="R15" s="307"/>
      <c r="S15" s="282"/>
      <c r="T15" s="308"/>
      <c r="U15" s="282"/>
      <c r="V15" s="308"/>
      <c r="W15" s="282"/>
      <c r="X15" s="308"/>
      <c r="Y15" s="282"/>
      <c r="Z15" s="308"/>
      <c r="AA15" s="282"/>
      <c r="AB15" s="308"/>
      <c r="AC15" s="308"/>
      <c r="AD15" s="282"/>
    </row>
    <row r="16" spans="1:30" x14ac:dyDescent="0.25">
      <c r="A16" s="9" t="s">
        <v>9</v>
      </c>
      <c r="B16" s="402" t="s">
        <v>672</v>
      </c>
      <c r="C16" s="402"/>
      <c r="D16" s="402"/>
      <c r="E16" s="402"/>
      <c r="F16" s="12"/>
      <c r="G16" s="13"/>
      <c r="H16" s="8" t="s">
        <v>10</v>
      </c>
      <c r="I16" s="413">
        <v>3222410300</v>
      </c>
      <c r="J16" s="413"/>
      <c r="R16" s="307" t="s">
        <v>619</v>
      </c>
      <c r="S16" s="292">
        <v>4491</v>
      </c>
      <c r="T16" s="309">
        <v>2286.9299999999998</v>
      </c>
      <c r="U16" s="310">
        <f>S16*T16</f>
        <v>10270602.629999999</v>
      </c>
      <c r="V16" s="308">
        <v>3860</v>
      </c>
      <c r="W16" s="309">
        <f>T16</f>
        <v>2286.9299999999998</v>
      </c>
      <c r="X16" s="308">
        <f>V16*W16</f>
        <v>8827549.7999999989</v>
      </c>
      <c r="Y16" s="292">
        <v>3363</v>
      </c>
      <c r="Z16" s="309">
        <f>W16</f>
        <v>2286.9299999999998</v>
      </c>
      <c r="AA16" s="292">
        <f>Y16*Z16</f>
        <v>7690945.5899999999</v>
      </c>
      <c r="AB16" s="308">
        <v>0</v>
      </c>
      <c r="AC16" s="309">
        <f>Z16</f>
        <v>2286.9299999999998</v>
      </c>
      <c r="AD16" s="292">
        <f>AB16*AC16</f>
        <v>0</v>
      </c>
    </row>
    <row r="17" spans="1:30" x14ac:dyDescent="0.25">
      <c r="A17" s="9" t="s">
        <v>365</v>
      </c>
      <c r="B17" s="402"/>
      <c r="C17" s="402"/>
      <c r="D17" s="402"/>
      <c r="E17" s="402"/>
      <c r="F17" s="14"/>
      <c r="G17" s="10"/>
      <c r="H17" s="8" t="s">
        <v>11</v>
      </c>
      <c r="I17" s="388"/>
      <c r="J17" s="388"/>
      <c r="R17" s="307"/>
      <c r="S17" s="308"/>
      <c r="T17" s="282"/>
      <c r="U17" s="309"/>
      <c r="V17" s="282"/>
      <c r="W17" s="282"/>
      <c r="X17" s="282"/>
      <c r="Y17" s="308"/>
      <c r="Z17" s="282"/>
      <c r="AA17" s="308"/>
      <c r="AB17" s="282"/>
      <c r="AC17" s="282"/>
      <c r="AD17" s="282"/>
    </row>
    <row r="18" spans="1:30" x14ac:dyDescent="0.25">
      <c r="A18" s="9" t="s">
        <v>12</v>
      </c>
      <c r="B18" s="402"/>
      <c r="C18" s="402"/>
      <c r="D18" s="402"/>
      <c r="E18" s="402"/>
      <c r="F18" s="14"/>
      <c r="G18" s="10"/>
      <c r="H18" s="8" t="s">
        <v>13</v>
      </c>
      <c r="I18" s="388"/>
      <c r="J18" s="388"/>
      <c r="R18" s="307" t="s">
        <v>620</v>
      </c>
      <c r="S18" s="308">
        <v>491</v>
      </c>
      <c r="T18" s="310">
        <v>3484.82</v>
      </c>
      <c r="U18" s="309">
        <f>S18*T18</f>
        <v>1711046.62</v>
      </c>
      <c r="V18" s="292">
        <v>422</v>
      </c>
      <c r="W18" s="310">
        <f>T18</f>
        <v>3484.82</v>
      </c>
      <c r="X18" s="310">
        <f>V18*W18</f>
        <v>1470594.04</v>
      </c>
      <c r="Y18" s="308">
        <v>368</v>
      </c>
      <c r="Z18" s="310">
        <f>W18</f>
        <v>3484.82</v>
      </c>
      <c r="AA18" s="309">
        <f>Y18*Z18</f>
        <v>1282413.76</v>
      </c>
      <c r="AB18" s="292">
        <v>0</v>
      </c>
      <c r="AC18" s="310">
        <f>Z18</f>
        <v>3484.82</v>
      </c>
      <c r="AD18" s="310">
        <f>AB18*AC18</f>
        <v>0</v>
      </c>
    </row>
    <row r="19" spans="1:30" x14ac:dyDescent="0.25">
      <c r="A19" s="9" t="s">
        <v>14</v>
      </c>
      <c r="B19" s="402"/>
      <c r="C19" s="402"/>
      <c r="D19" s="402"/>
      <c r="E19" s="402"/>
      <c r="F19" s="14"/>
      <c r="G19" s="15"/>
      <c r="H19" s="16" t="s">
        <v>15</v>
      </c>
      <c r="I19" s="388" t="s">
        <v>675</v>
      </c>
      <c r="J19" s="388"/>
      <c r="R19" s="307"/>
      <c r="S19" s="282"/>
      <c r="T19" s="282"/>
      <c r="U19" s="311"/>
      <c r="V19" s="282"/>
      <c r="W19" s="282"/>
      <c r="X19" s="282"/>
      <c r="Y19" s="282"/>
      <c r="Z19" s="282"/>
      <c r="AA19" s="282"/>
      <c r="AB19" s="282"/>
      <c r="AC19" s="282"/>
      <c r="AD19" s="282"/>
    </row>
    <row r="20" spans="1:30" x14ac:dyDescent="0.25">
      <c r="A20" s="9" t="s">
        <v>16</v>
      </c>
      <c r="B20" s="402"/>
      <c r="C20" s="402"/>
      <c r="D20" s="402"/>
      <c r="E20" s="402"/>
      <c r="F20" s="402" t="s">
        <v>17</v>
      </c>
      <c r="G20" s="403"/>
      <c r="H20" s="412"/>
      <c r="I20" s="390"/>
      <c r="J20" s="390"/>
      <c r="R20" s="307" t="s">
        <v>621</v>
      </c>
      <c r="S20" s="292">
        <v>148</v>
      </c>
      <c r="T20" s="292">
        <v>5827.34</v>
      </c>
      <c r="U20" s="310">
        <f>S20*T20</f>
        <v>862446.32000000007</v>
      </c>
      <c r="V20" s="292">
        <v>127</v>
      </c>
      <c r="W20" s="292">
        <f>T20</f>
        <v>5827.34</v>
      </c>
      <c r="X20" s="310">
        <f>V20*W20</f>
        <v>740072.18</v>
      </c>
      <c r="Y20" s="292">
        <v>111</v>
      </c>
      <c r="Z20" s="292">
        <f>W20</f>
        <v>5827.34</v>
      </c>
      <c r="AA20" s="310">
        <f>Y20*Z20</f>
        <v>646834.74</v>
      </c>
      <c r="AB20" s="292">
        <v>0</v>
      </c>
      <c r="AC20" s="292">
        <f>Z20</f>
        <v>5827.34</v>
      </c>
      <c r="AD20" s="310">
        <f>AB20*AC20</f>
        <v>0</v>
      </c>
    </row>
    <row r="21" spans="1:30" x14ac:dyDescent="0.25">
      <c r="A21" s="9" t="s">
        <v>671</v>
      </c>
      <c r="B21" s="402"/>
      <c r="C21" s="402"/>
      <c r="D21" s="402"/>
      <c r="E21" s="402"/>
      <c r="F21" s="402" t="s">
        <v>18</v>
      </c>
      <c r="G21" s="403"/>
      <c r="H21" s="404"/>
      <c r="I21" s="390"/>
      <c r="J21" s="390"/>
      <c r="R21" s="307"/>
      <c r="S21" s="285"/>
      <c r="T21" s="308"/>
      <c r="U21" s="297"/>
      <c r="V21" s="308"/>
      <c r="W21" s="308"/>
      <c r="X21" s="309"/>
      <c r="Y21" s="285"/>
      <c r="Z21" s="308"/>
      <c r="AA21" s="297"/>
      <c r="AB21" s="308"/>
      <c r="AC21" s="308"/>
      <c r="AD21" s="297"/>
    </row>
    <row r="22" spans="1:30" ht="16.5" customHeight="1" x14ac:dyDescent="0.25">
      <c r="A22" s="9" t="s">
        <v>473</v>
      </c>
      <c r="B22" s="405"/>
      <c r="C22" s="405"/>
      <c r="D22" s="405"/>
      <c r="E22" s="405"/>
      <c r="F22" s="14"/>
      <c r="G22" s="14"/>
      <c r="H22" s="17"/>
      <c r="I22" s="390"/>
      <c r="J22" s="390"/>
      <c r="R22" s="307" t="s">
        <v>622</v>
      </c>
      <c r="S22" s="285">
        <v>0</v>
      </c>
      <c r="T22" s="308">
        <v>0</v>
      </c>
      <c r="U22" s="297">
        <f>S22*T22</f>
        <v>0</v>
      </c>
      <c r="V22" s="308">
        <v>0</v>
      </c>
      <c r="W22" s="308">
        <v>0</v>
      </c>
      <c r="X22" s="309">
        <f>V22*W22</f>
        <v>0</v>
      </c>
      <c r="Y22" s="285">
        <v>0</v>
      </c>
      <c r="Z22" s="308">
        <v>0</v>
      </c>
      <c r="AA22" s="297">
        <f>Y22*Z22</f>
        <v>0</v>
      </c>
      <c r="AB22" s="308">
        <v>0</v>
      </c>
      <c r="AC22" s="308">
        <v>0</v>
      </c>
      <c r="AD22" s="297"/>
    </row>
    <row r="23" spans="1:30" ht="25.5" x14ac:dyDescent="0.25">
      <c r="A23" s="9" t="s">
        <v>669</v>
      </c>
      <c r="B23" s="14"/>
      <c r="C23" s="14"/>
      <c r="D23" s="14"/>
      <c r="E23" s="14"/>
      <c r="F23" s="14"/>
      <c r="G23" s="12"/>
      <c r="H23" s="8"/>
      <c r="I23" s="388"/>
      <c r="J23" s="388"/>
      <c r="R23" s="312" t="s">
        <v>623</v>
      </c>
      <c r="S23" s="277">
        <f>S16+S18+S20+S22</f>
        <v>5130</v>
      </c>
      <c r="T23" s="313"/>
      <c r="U23" s="314">
        <f>U16+U18+U20+U22</f>
        <v>12844095.57</v>
      </c>
      <c r="V23" s="314">
        <f>V16+V18+V20+V22</f>
        <v>4409</v>
      </c>
      <c r="W23" s="313"/>
      <c r="X23" s="314">
        <f>X16+X18+X20+X22</f>
        <v>11038216.02</v>
      </c>
      <c r="Y23" s="277">
        <f>Y16+Y18+Y20+Y22</f>
        <v>3842</v>
      </c>
      <c r="Z23" s="313"/>
      <c r="AA23" s="314">
        <f>AA16+AA18+AA20+AA22</f>
        <v>9620194.0899999999</v>
      </c>
      <c r="AB23" s="313">
        <f>AB16+AB18+AB20+AB22</f>
        <v>0</v>
      </c>
      <c r="AC23" s="313"/>
      <c r="AD23" s="314">
        <f>AD16+AD18+AD20+AD22</f>
        <v>0</v>
      </c>
    </row>
    <row r="24" spans="1:30" x14ac:dyDescent="0.25">
      <c r="A24" s="9" t="s">
        <v>670</v>
      </c>
      <c r="B24" s="389"/>
      <c r="C24" s="389"/>
      <c r="D24" s="389"/>
      <c r="E24" s="389"/>
      <c r="F24" s="14"/>
      <c r="G24" s="14"/>
      <c r="H24" s="17"/>
      <c r="I24" s="390"/>
      <c r="J24" s="390"/>
      <c r="R24" s="307"/>
      <c r="S24" s="377" t="s">
        <v>624</v>
      </c>
      <c r="T24" s="378"/>
      <c r="U24" s="379"/>
      <c r="V24" s="377" t="s">
        <v>625</v>
      </c>
      <c r="W24" s="378"/>
      <c r="X24" s="379"/>
      <c r="Y24" s="377" t="s">
        <v>626</v>
      </c>
      <c r="Z24" s="378"/>
      <c r="AA24" s="379"/>
      <c r="AB24" s="377" t="s">
        <v>627</v>
      </c>
      <c r="AC24" s="378"/>
      <c r="AD24" s="379"/>
    </row>
    <row r="25" spans="1:30" ht="25.5" customHeight="1" x14ac:dyDescent="0.25">
      <c r="A25" s="411" t="s">
        <v>673</v>
      </c>
      <c r="B25" s="389"/>
      <c r="C25" s="389"/>
      <c r="D25" s="389"/>
      <c r="E25" s="389"/>
      <c r="F25" s="12"/>
      <c r="G25" s="12"/>
      <c r="H25" s="8"/>
      <c r="I25" s="388"/>
      <c r="J25" s="388"/>
      <c r="R25" s="304"/>
      <c r="S25" s="282" t="s">
        <v>613</v>
      </c>
      <c r="T25" s="305" t="s">
        <v>614</v>
      </c>
      <c r="U25" s="282" t="s">
        <v>615</v>
      </c>
      <c r="V25" s="282" t="s">
        <v>613</v>
      </c>
      <c r="W25" s="305" t="s">
        <v>614</v>
      </c>
      <c r="X25" s="282" t="s">
        <v>615</v>
      </c>
      <c r="Y25" s="282" t="s">
        <v>613</v>
      </c>
      <c r="Z25" s="305" t="s">
        <v>614</v>
      </c>
      <c r="AA25" s="282" t="s">
        <v>615</v>
      </c>
      <c r="AB25" s="282" t="s">
        <v>613</v>
      </c>
      <c r="AC25" s="305" t="s">
        <v>614</v>
      </c>
      <c r="AD25" s="282" t="s">
        <v>615</v>
      </c>
    </row>
    <row r="26" spans="1:30" x14ac:dyDescent="0.25">
      <c r="A26" s="1"/>
      <c r="B26" s="2"/>
      <c r="C26" s="88"/>
      <c r="D26" s="2"/>
      <c r="E26" s="1"/>
      <c r="F26" s="1"/>
      <c r="G26" s="1"/>
      <c r="H26" s="1"/>
      <c r="I26" s="1"/>
      <c r="J26" s="4"/>
      <c r="R26" s="306"/>
      <c r="S26" s="292" t="s">
        <v>616</v>
      </c>
      <c r="T26" s="301" t="s">
        <v>617</v>
      </c>
      <c r="U26" s="292" t="s">
        <v>618</v>
      </c>
      <c r="V26" s="292" t="s">
        <v>616</v>
      </c>
      <c r="W26" s="301" t="s">
        <v>617</v>
      </c>
      <c r="X26" s="292" t="s">
        <v>618</v>
      </c>
      <c r="Y26" s="292" t="s">
        <v>616</v>
      </c>
      <c r="Z26" s="301" t="s">
        <v>617</v>
      </c>
      <c r="AA26" s="292" t="s">
        <v>618</v>
      </c>
      <c r="AB26" s="292" t="s">
        <v>616</v>
      </c>
      <c r="AC26" s="301" t="s">
        <v>617</v>
      </c>
      <c r="AD26" s="292" t="s">
        <v>618</v>
      </c>
    </row>
    <row r="27" spans="1:30" x14ac:dyDescent="0.25">
      <c r="A27" s="391" t="s">
        <v>681</v>
      </c>
      <c r="B27" s="391"/>
      <c r="C27" s="391"/>
      <c r="D27" s="391"/>
      <c r="E27" s="391"/>
      <c r="F27" s="391"/>
      <c r="G27" s="391"/>
      <c r="H27" s="391"/>
      <c r="I27" s="391"/>
      <c r="J27" s="4"/>
      <c r="R27" s="307"/>
      <c r="S27" s="282"/>
      <c r="T27" s="308"/>
      <c r="U27" s="282"/>
      <c r="V27" s="308"/>
      <c r="W27" s="308"/>
      <c r="X27" s="282"/>
      <c r="Y27" s="282"/>
      <c r="Z27" s="282"/>
      <c r="AA27" s="282"/>
      <c r="AB27" s="282"/>
      <c r="AC27" s="282"/>
      <c r="AD27" s="282"/>
    </row>
    <row r="28" spans="1:30" ht="15.75" customHeight="1" x14ac:dyDescent="0.25">
      <c r="A28" s="18" t="s">
        <v>544</v>
      </c>
      <c r="B28" s="19"/>
      <c r="C28" s="19"/>
      <c r="D28" s="18"/>
      <c r="E28" s="18"/>
      <c r="F28" s="18"/>
      <c r="G28" s="18"/>
      <c r="H28" s="18"/>
      <c r="I28" s="407" t="s">
        <v>468</v>
      </c>
      <c r="J28" s="407"/>
      <c r="R28" s="307" t="s">
        <v>619</v>
      </c>
      <c r="S28" s="292">
        <v>1011</v>
      </c>
      <c r="T28" s="309">
        <f>T16</f>
        <v>2286.9299999999998</v>
      </c>
      <c r="U28" s="292">
        <f>S28*T28</f>
        <v>2312086.23</v>
      </c>
      <c r="V28" s="315">
        <v>3083</v>
      </c>
      <c r="W28" s="309">
        <f>T28</f>
        <v>2286.9299999999998</v>
      </c>
      <c r="X28" s="310">
        <f>V28*W28</f>
        <v>7050605.1899999995</v>
      </c>
      <c r="Y28" s="292">
        <v>4053</v>
      </c>
      <c r="Z28" s="309">
        <f>W28</f>
        <v>2286.9299999999998</v>
      </c>
      <c r="AA28" s="292">
        <f>Y28*Z28</f>
        <v>9268927.2899999991</v>
      </c>
      <c r="AB28" s="298">
        <f>S16+V16+Y16+AB16+S28+V28+Y28</f>
        <v>19861</v>
      </c>
      <c r="AC28" s="309">
        <f>Z28</f>
        <v>2286.9299999999998</v>
      </c>
      <c r="AD28" s="310">
        <f>U16+X16+AA16+AD16+U28+X28+AA28</f>
        <v>45420716.729999997</v>
      </c>
    </row>
    <row r="29" spans="1:30" x14ac:dyDescent="0.25">
      <c r="A29" s="388" t="s">
        <v>19</v>
      </c>
      <c r="B29" s="390" t="s">
        <v>20</v>
      </c>
      <c r="C29" s="383" t="s">
        <v>682</v>
      </c>
      <c r="D29" s="390" t="s">
        <v>683</v>
      </c>
      <c r="E29" s="390" t="s">
        <v>21</v>
      </c>
      <c r="F29" s="390" t="s">
        <v>22</v>
      </c>
      <c r="G29" s="390"/>
      <c r="H29" s="390"/>
      <c r="I29" s="390"/>
      <c r="J29" s="395" t="s">
        <v>23</v>
      </c>
      <c r="R29" s="307"/>
      <c r="S29" s="308"/>
      <c r="T29" s="282"/>
      <c r="U29" s="308"/>
      <c r="V29" s="299"/>
      <c r="W29" s="282"/>
      <c r="X29" s="282"/>
      <c r="Y29" s="308"/>
      <c r="Z29" s="282"/>
      <c r="AA29" s="308"/>
      <c r="AB29" s="282"/>
      <c r="AC29" s="282"/>
      <c r="AD29" s="282"/>
    </row>
    <row r="30" spans="1:30" ht="42" customHeight="1" x14ac:dyDescent="0.25">
      <c r="A30" s="388"/>
      <c r="B30" s="390"/>
      <c r="C30" s="384"/>
      <c r="D30" s="390"/>
      <c r="E30" s="390"/>
      <c r="F30" s="70" t="s">
        <v>24</v>
      </c>
      <c r="G30" s="70" t="s">
        <v>25</v>
      </c>
      <c r="H30" s="70" t="s">
        <v>26</v>
      </c>
      <c r="I30" s="70" t="s">
        <v>27</v>
      </c>
      <c r="J30" s="395"/>
      <c r="R30" s="307" t="s">
        <v>620</v>
      </c>
      <c r="S30" s="308">
        <v>110</v>
      </c>
      <c r="T30" s="310">
        <f>T18</f>
        <v>3484.82</v>
      </c>
      <c r="U30" s="309">
        <f>S30*T30</f>
        <v>383330.2</v>
      </c>
      <c r="V30" s="298">
        <v>337</v>
      </c>
      <c r="W30" s="310">
        <f>T30</f>
        <v>3484.82</v>
      </c>
      <c r="X30" s="310">
        <f>V30*W30</f>
        <v>1174384.3400000001</v>
      </c>
      <c r="Y30" s="308">
        <v>443</v>
      </c>
      <c r="Z30" s="310">
        <f>W30</f>
        <v>3484.82</v>
      </c>
      <c r="AA30" s="309">
        <f>Y30*Z30</f>
        <v>1543775.26</v>
      </c>
      <c r="AB30" s="298">
        <f>S18+V18+Y18+AB18+S30+V30+Y30</f>
        <v>2171</v>
      </c>
      <c r="AC30" s="310">
        <f>Z30</f>
        <v>3484.82</v>
      </c>
      <c r="AD30" s="310">
        <f>U18+X18+AA18+AD18+U30+X30+AA30</f>
        <v>7565544.2199999997</v>
      </c>
    </row>
    <row r="31" spans="1:30" x14ac:dyDescent="0.25">
      <c r="A31" s="20">
        <v>1</v>
      </c>
      <c r="B31" s="21">
        <v>2</v>
      </c>
      <c r="C31" s="90">
        <v>3</v>
      </c>
      <c r="D31" s="21">
        <v>4</v>
      </c>
      <c r="E31" s="21">
        <v>5</v>
      </c>
      <c r="F31" s="21">
        <v>6</v>
      </c>
      <c r="G31" s="21">
        <v>7</v>
      </c>
      <c r="H31" s="21">
        <v>8</v>
      </c>
      <c r="I31" s="21">
        <v>9</v>
      </c>
      <c r="J31" s="22">
        <v>10</v>
      </c>
      <c r="R31" s="307"/>
      <c r="S31" s="282"/>
      <c r="T31" s="282"/>
      <c r="U31" s="282"/>
      <c r="V31" s="299"/>
      <c r="W31" s="282"/>
      <c r="X31" s="282"/>
      <c r="Y31" s="282"/>
      <c r="Z31" s="282"/>
      <c r="AA31" s="311"/>
      <c r="AB31" s="282"/>
      <c r="AC31" s="282"/>
      <c r="AD31" s="282"/>
    </row>
    <row r="32" spans="1:30" x14ac:dyDescent="0.25">
      <c r="A32" s="406" t="s">
        <v>28</v>
      </c>
      <c r="B32" s="406"/>
      <c r="C32" s="406"/>
      <c r="D32" s="406"/>
      <c r="E32" s="406"/>
      <c r="F32" s="406"/>
      <c r="G32" s="406"/>
      <c r="H32" s="406"/>
      <c r="I32" s="406"/>
      <c r="J32" s="406"/>
      <c r="R32" s="312" t="s">
        <v>621</v>
      </c>
      <c r="S32" s="285">
        <v>33</v>
      </c>
      <c r="T32" s="292">
        <f>T20</f>
        <v>5827.34</v>
      </c>
      <c r="U32" s="310">
        <f>S32*T32</f>
        <v>192302.22</v>
      </c>
      <c r="V32" s="298">
        <v>102</v>
      </c>
      <c r="W32" s="292">
        <f>T32</f>
        <v>5827.34</v>
      </c>
      <c r="X32" s="310">
        <f>V32*W32</f>
        <v>594388.68000000005</v>
      </c>
      <c r="Y32" s="292">
        <v>134</v>
      </c>
      <c r="Z32" s="292">
        <f>W32</f>
        <v>5827.34</v>
      </c>
      <c r="AA32" s="310">
        <f>Y32*Z32</f>
        <v>780863.56</v>
      </c>
      <c r="AB32" s="298">
        <f>S20+V20+Y20+AB20+S32+V32+Y32</f>
        <v>655</v>
      </c>
      <c r="AC32" s="292">
        <f>Z32</f>
        <v>5827.34</v>
      </c>
      <c r="AD32" s="310">
        <f>U20+X20+AA20+AD20+U32+X32+AA32</f>
        <v>3816907.7000000007</v>
      </c>
    </row>
    <row r="33" spans="1:30" x14ac:dyDescent="0.25">
      <c r="A33" s="406" t="s">
        <v>29</v>
      </c>
      <c r="B33" s="406"/>
      <c r="C33" s="406"/>
      <c r="D33" s="406"/>
      <c r="E33" s="406"/>
      <c r="F33" s="406"/>
      <c r="G33" s="406"/>
      <c r="H33" s="406"/>
      <c r="I33" s="406"/>
      <c r="J33" s="406"/>
      <c r="R33" s="316"/>
      <c r="S33" s="282"/>
      <c r="T33" s="308"/>
      <c r="U33" s="310"/>
      <c r="V33" s="298"/>
      <c r="W33" s="308"/>
      <c r="X33" s="310"/>
      <c r="Y33" s="292"/>
      <c r="Z33" s="308"/>
      <c r="AA33" s="310"/>
      <c r="AB33" s="298"/>
      <c r="AC33" s="308"/>
      <c r="AD33" s="310"/>
    </row>
    <row r="34" spans="1:30" ht="25.5" x14ac:dyDescent="0.25">
      <c r="A34" s="24" t="s">
        <v>368</v>
      </c>
      <c r="B34" s="23">
        <v>1000</v>
      </c>
      <c r="C34" s="92">
        <f>C35+C36+C40</f>
        <v>57410.39</v>
      </c>
      <c r="D34" s="302">
        <f>D35+D36+D37+D38+D39+D40</f>
        <v>84651.200000000012</v>
      </c>
      <c r="E34" s="265">
        <f>E35+E36+E40</f>
        <v>94313.448000000004</v>
      </c>
      <c r="F34" s="265">
        <f>F35+F36+F40</f>
        <v>41903.300000000003</v>
      </c>
      <c r="G34" s="265">
        <f>G35+G36+G40</f>
        <v>8405.7999999999993</v>
      </c>
      <c r="H34" s="265">
        <f>H35+H36+H40</f>
        <v>8405.7999999999993</v>
      </c>
      <c r="I34" s="265">
        <f>I35+I36+I40</f>
        <v>35598.547999999995</v>
      </c>
      <c r="J34" s="97" t="s">
        <v>421</v>
      </c>
      <c r="R34" s="317" t="s">
        <v>622</v>
      </c>
      <c r="S34" s="292">
        <v>0</v>
      </c>
      <c r="T34" s="308">
        <v>0</v>
      </c>
      <c r="U34" s="310">
        <f>S34*T34</f>
        <v>0</v>
      </c>
      <c r="V34" s="298">
        <v>0</v>
      </c>
      <c r="W34" s="308">
        <v>0</v>
      </c>
      <c r="X34" s="310">
        <f>V34*W34</f>
        <v>0</v>
      </c>
      <c r="Y34" s="292">
        <v>0</v>
      </c>
      <c r="Z34" s="308">
        <v>0</v>
      </c>
      <c r="AA34" s="310">
        <f>Y34*Z34</f>
        <v>0</v>
      </c>
      <c r="AB34" s="298">
        <f>S22+V22+Y22+AB22+S34+V34+Y34</f>
        <v>0</v>
      </c>
      <c r="AC34" s="308">
        <v>0</v>
      </c>
      <c r="AD34" s="310">
        <f>AB34*AC34</f>
        <v>0</v>
      </c>
    </row>
    <row r="35" spans="1:30" ht="25.5" x14ac:dyDescent="0.25">
      <c r="A35" s="46" t="s">
        <v>474</v>
      </c>
      <c r="B35" s="148">
        <v>1001</v>
      </c>
      <c r="C35" s="148">
        <f>31087.89</f>
        <v>31087.89</v>
      </c>
      <c r="D35" s="26">
        <v>49566.400000000001</v>
      </c>
      <c r="E35" s="264">
        <f>50583.54*1.2</f>
        <v>60700.248</v>
      </c>
      <c r="F35" s="28">
        <f>12844.1+11038.2+9620.2</f>
        <v>33502.5</v>
      </c>
      <c r="G35" s="28">
        <v>0</v>
      </c>
      <c r="H35" s="28">
        <v>0</v>
      </c>
      <c r="I35" s="28">
        <f>E35-F35</f>
        <v>27197.748</v>
      </c>
      <c r="J35" s="29" t="s">
        <v>261</v>
      </c>
      <c r="L35" s="375">
        <f>F35+I35</f>
        <v>60700.248</v>
      </c>
      <c r="R35" s="312" t="s">
        <v>628</v>
      </c>
      <c r="S35" s="292">
        <f>S28+S30+S32+S34</f>
        <v>1154</v>
      </c>
      <c r="T35" s="277"/>
      <c r="U35" s="314">
        <f>U28+U30+U32+U34</f>
        <v>2887718.6500000004</v>
      </c>
      <c r="V35" s="314">
        <f>V28+V30+V32+V34</f>
        <v>3522</v>
      </c>
      <c r="W35" s="277"/>
      <c r="X35" s="314">
        <f>X28+X30+X32+X34</f>
        <v>8819378.209999999</v>
      </c>
      <c r="Y35" s="277">
        <f>Y28+Y30+Y32+Y34</f>
        <v>4630</v>
      </c>
      <c r="Z35" s="277"/>
      <c r="AA35" s="314">
        <f>AA28+AA30+AA32+AA34</f>
        <v>11593566.109999999</v>
      </c>
      <c r="AB35" s="318">
        <f>AB28+AB30+AB32+AB34</f>
        <v>22687</v>
      </c>
      <c r="AC35" s="277"/>
      <c r="AD35" s="314">
        <f>AD28+AD30+AD32+AD34</f>
        <v>56803168.649999999</v>
      </c>
    </row>
    <row r="36" spans="1:30" ht="25.5" x14ac:dyDescent="0.25">
      <c r="A36" s="46" t="s">
        <v>259</v>
      </c>
      <c r="B36" s="148">
        <v>1002</v>
      </c>
      <c r="C36" s="148">
        <f>C44*1.2</f>
        <v>23446.799999999999</v>
      </c>
      <c r="D36" s="26">
        <v>35054.800000000003</v>
      </c>
      <c r="E36" s="263">
        <v>33583.199999999997</v>
      </c>
      <c r="F36" s="28">
        <f>E36/4</f>
        <v>8395.7999999999993</v>
      </c>
      <c r="G36" s="28">
        <f>F36</f>
        <v>8395.7999999999993</v>
      </c>
      <c r="H36" s="28">
        <f>G36</f>
        <v>8395.7999999999993</v>
      </c>
      <c r="I36" s="28">
        <f>H36</f>
        <v>8395.7999999999993</v>
      </c>
      <c r="J36" s="29"/>
    </row>
    <row r="37" spans="1:30" x14ac:dyDescent="0.25">
      <c r="A37" s="46" t="s">
        <v>256</v>
      </c>
      <c r="B37" s="148">
        <v>1003</v>
      </c>
      <c r="C37" s="148">
        <v>0</v>
      </c>
      <c r="D37" s="26">
        <v>0</v>
      </c>
      <c r="E37" s="263">
        <v>0</v>
      </c>
      <c r="F37" s="28">
        <v>0</v>
      </c>
      <c r="G37" s="28">
        <v>0</v>
      </c>
      <c r="H37" s="28">
        <v>0</v>
      </c>
      <c r="I37" s="28">
        <v>0</v>
      </c>
      <c r="J37" s="29"/>
      <c r="V37" s="268" t="s">
        <v>629</v>
      </c>
      <c r="W37" s="268"/>
      <c r="X37" s="268"/>
      <c r="Y37" s="268"/>
      <c r="Z37" s="268"/>
      <c r="AA37" s="268"/>
    </row>
    <row r="38" spans="1:30" x14ac:dyDescent="0.25">
      <c r="A38" s="46" t="s">
        <v>257</v>
      </c>
      <c r="B38" s="148">
        <v>1004</v>
      </c>
      <c r="C38" s="148">
        <v>0</v>
      </c>
      <c r="D38" s="26">
        <v>0</v>
      </c>
      <c r="E38" s="263">
        <v>0</v>
      </c>
      <c r="F38" s="28">
        <v>0</v>
      </c>
      <c r="G38" s="28">
        <v>0</v>
      </c>
      <c r="H38" s="28">
        <v>0</v>
      </c>
      <c r="I38" s="28">
        <v>0</v>
      </c>
      <c r="J38" s="29"/>
    </row>
    <row r="39" spans="1:30" x14ac:dyDescent="0.25">
      <c r="A39" s="46" t="s">
        <v>258</v>
      </c>
      <c r="B39" s="148">
        <v>1005</v>
      </c>
      <c r="C39" s="148">
        <v>0</v>
      </c>
      <c r="D39" s="26">
        <v>0</v>
      </c>
      <c r="E39" s="263">
        <v>0</v>
      </c>
      <c r="F39" s="28">
        <v>0</v>
      </c>
      <c r="G39" s="28">
        <v>0</v>
      </c>
      <c r="H39" s="28">
        <v>0</v>
      </c>
      <c r="I39" s="28">
        <v>0</v>
      </c>
      <c r="J39" s="29"/>
    </row>
    <row r="40" spans="1:30" ht="25.5" x14ac:dyDescent="0.25">
      <c r="A40" s="46" t="s">
        <v>260</v>
      </c>
      <c r="B40" s="148">
        <v>1006</v>
      </c>
      <c r="C40" s="148">
        <v>2875.7</v>
      </c>
      <c r="D40" s="26">
        <v>30</v>
      </c>
      <c r="E40" s="263">
        <v>30</v>
      </c>
      <c r="F40" s="28">
        <v>5</v>
      </c>
      <c r="G40" s="28">
        <v>10</v>
      </c>
      <c r="H40" s="28">
        <v>10</v>
      </c>
      <c r="I40" s="28">
        <v>5</v>
      </c>
      <c r="J40" s="29"/>
    </row>
    <row r="41" spans="1:30" x14ac:dyDescent="0.25">
      <c r="A41" s="171" t="s">
        <v>366</v>
      </c>
      <c r="B41" s="181">
        <v>1010</v>
      </c>
      <c r="C41" s="148">
        <v>7242.92</v>
      </c>
      <c r="D41" s="26">
        <f t="shared" ref="D41:I41" si="0">(D35+D36)/6</f>
        <v>14103.533333333335</v>
      </c>
      <c r="E41" s="263">
        <f t="shared" si="0"/>
        <v>15713.908000000001</v>
      </c>
      <c r="F41" s="263">
        <f t="shared" si="0"/>
        <v>6983.05</v>
      </c>
      <c r="G41" s="263">
        <f t="shared" si="0"/>
        <v>1399.3</v>
      </c>
      <c r="H41" s="263">
        <f t="shared" si="0"/>
        <v>1399.3</v>
      </c>
      <c r="I41" s="263">
        <f t="shared" si="0"/>
        <v>5932.2579999999989</v>
      </c>
      <c r="J41" s="29"/>
    </row>
    <row r="42" spans="1:30" ht="38.25" x14ac:dyDescent="0.25">
      <c r="A42" s="24" t="s">
        <v>367</v>
      </c>
      <c r="B42" s="149">
        <v>1020</v>
      </c>
      <c r="C42" s="319">
        <f>C43+C44+C45+C46+C47+C48</f>
        <v>47842</v>
      </c>
      <c r="D42" s="26">
        <f>D43+D44+D45+D46+D47+D48</f>
        <v>70542.666666666672</v>
      </c>
      <c r="E42" s="263">
        <f>E43+E44+E48</f>
        <v>78594.540000000008</v>
      </c>
      <c r="F42" s="263">
        <f>F34-F41</f>
        <v>34920.25</v>
      </c>
      <c r="G42" s="263">
        <f>G34-G41</f>
        <v>7006.4999999999991</v>
      </c>
      <c r="H42" s="263">
        <f>H34-H41</f>
        <v>7006.4999999999991</v>
      </c>
      <c r="I42" s="263">
        <f>I34-I41</f>
        <v>29666.289999999997</v>
      </c>
      <c r="J42" s="29" t="s">
        <v>422</v>
      </c>
    </row>
    <row r="43" spans="1:30" x14ac:dyDescent="0.25">
      <c r="A43" s="46" t="s">
        <v>474</v>
      </c>
      <c r="B43" s="148">
        <v>1021</v>
      </c>
      <c r="C43" s="148">
        <v>25906.58</v>
      </c>
      <c r="D43" s="26">
        <f>D35/1.2</f>
        <v>41305.333333333336</v>
      </c>
      <c r="E43" s="263">
        <f>E35/1.2</f>
        <v>50583.54</v>
      </c>
      <c r="F43" s="28">
        <f>F35/1.2</f>
        <v>27918.75</v>
      </c>
      <c r="G43" s="28">
        <v>0</v>
      </c>
      <c r="H43" s="28">
        <v>0</v>
      </c>
      <c r="I43" s="28">
        <f>I35/1.2</f>
        <v>22664.79</v>
      </c>
      <c r="J43" s="29"/>
    </row>
    <row r="44" spans="1:30" ht="25.5" x14ac:dyDescent="0.25">
      <c r="A44" s="46" t="s">
        <v>259</v>
      </c>
      <c r="B44" s="148">
        <v>1022</v>
      </c>
      <c r="C44" s="148">
        <f>17303.54+1071.59+1163.87</f>
        <v>19539</v>
      </c>
      <c r="D44" s="26">
        <f>D36/1.2</f>
        <v>29212.333333333336</v>
      </c>
      <c r="E44" s="263">
        <f>E36/1.2</f>
        <v>27986</v>
      </c>
      <c r="F44" s="28">
        <f>E44/4</f>
        <v>6996.5</v>
      </c>
      <c r="G44" s="28">
        <f>E44/4</f>
        <v>6996.5</v>
      </c>
      <c r="H44" s="28">
        <f>G44</f>
        <v>6996.5</v>
      </c>
      <c r="I44" s="28">
        <f>G44</f>
        <v>6996.5</v>
      </c>
      <c r="J44" s="29"/>
    </row>
    <row r="45" spans="1:30" x14ac:dyDescent="0.25">
      <c r="A45" s="46" t="s">
        <v>256</v>
      </c>
      <c r="B45" s="148">
        <v>1023</v>
      </c>
      <c r="C45" s="148">
        <v>0</v>
      </c>
      <c r="D45" s="26">
        <v>0</v>
      </c>
      <c r="E45" s="263">
        <v>0</v>
      </c>
      <c r="F45" s="28">
        <v>0</v>
      </c>
      <c r="G45" s="28">
        <v>0</v>
      </c>
      <c r="H45" s="28">
        <v>0</v>
      </c>
      <c r="I45" s="28">
        <v>0</v>
      </c>
      <c r="J45" s="29"/>
    </row>
    <row r="46" spans="1:30" x14ac:dyDescent="0.25">
      <c r="A46" s="46" t="s">
        <v>257</v>
      </c>
      <c r="B46" s="148">
        <v>1024</v>
      </c>
      <c r="C46" s="148">
        <v>0</v>
      </c>
      <c r="D46" s="26">
        <v>0</v>
      </c>
      <c r="E46" s="263">
        <v>0</v>
      </c>
      <c r="F46" s="28">
        <v>0</v>
      </c>
      <c r="G46" s="28">
        <v>0</v>
      </c>
      <c r="H46" s="28">
        <v>0</v>
      </c>
      <c r="I46" s="28">
        <v>0</v>
      </c>
      <c r="J46" s="29"/>
    </row>
    <row r="47" spans="1:30" x14ac:dyDescent="0.25">
      <c r="A47" s="46" t="s">
        <v>258</v>
      </c>
      <c r="B47" s="148">
        <v>1025</v>
      </c>
      <c r="C47" s="148">
        <v>0</v>
      </c>
      <c r="D47" s="26">
        <v>0</v>
      </c>
      <c r="E47" s="263">
        <v>0</v>
      </c>
      <c r="F47" s="28">
        <v>0</v>
      </c>
      <c r="G47" s="28">
        <v>0</v>
      </c>
      <c r="H47" s="28">
        <v>0</v>
      </c>
      <c r="I47" s="28">
        <v>0</v>
      </c>
      <c r="J47" s="29"/>
    </row>
    <row r="48" spans="1:30" ht="25.5" x14ac:dyDescent="0.25">
      <c r="A48" s="46" t="s">
        <v>260</v>
      </c>
      <c r="B48" s="148">
        <v>1026</v>
      </c>
      <c r="C48" s="319">
        <v>2396.42</v>
      </c>
      <c r="D48" s="26">
        <f t="shared" ref="D48:I48" si="1">D40/1.2</f>
        <v>25</v>
      </c>
      <c r="E48" s="263">
        <f t="shared" si="1"/>
        <v>25</v>
      </c>
      <c r="F48" s="28">
        <f t="shared" si="1"/>
        <v>4.166666666666667</v>
      </c>
      <c r="G48" s="28">
        <f t="shared" si="1"/>
        <v>8.3333333333333339</v>
      </c>
      <c r="H48" s="28">
        <f t="shared" si="1"/>
        <v>8.3333333333333339</v>
      </c>
      <c r="I48" s="28">
        <f t="shared" si="1"/>
        <v>4.166666666666667</v>
      </c>
      <c r="J48" s="29"/>
    </row>
    <row r="49" spans="1:14" ht="25.5" x14ac:dyDescent="0.25">
      <c r="A49" s="147" t="s">
        <v>30</v>
      </c>
      <c r="B49" s="149">
        <v>1030</v>
      </c>
      <c r="C49" s="149">
        <v>0</v>
      </c>
      <c r="D49" s="26">
        <v>29548.799999999999</v>
      </c>
      <c r="E49" s="263">
        <v>34348.36</v>
      </c>
      <c r="F49" s="28">
        <v>20039.8</v>
      </c>
      <c r="G49" s="28">
        <v>9509.0499999999993</v>
      </c>
      <c r="H49" s="28">
        <v>0</v>
      </c>
      <c r="I49" s="28">
        <v>0</v>
      </c>
      <c r="J49" s="29"/>
    </row>
    <row r="50" spans="1:14" ht="26.25" x14ac:dyDescent="0.25">
      <c r="A50" s="157" t="s">
        <v>601</v>
      </c>
      <c r="B50" s="98">
        <v>1031</v>
      </c>
      <c r="C50" s="150">
        <v>0</v>
      </c>
      <c r="D50" s="26">
        <v>29548.799999999999</v>
      </c>
      <c r="E50" s="263">
        <f>E49</f>
        <v>34348.36</v>
      </c>
      <c r="F50" s="28">
        <v>20039.8</v>
      </c>
      <c r="G50" s="28">
        <f>G49</f>
        <v>9509.0499999999993</v>
      </c>
      <c r="H50" s="28">
        <v>0</v>
      </c>
      <c r="I50" s="28">
        <v>0</v>
      </c>
      <c r="J50" s="29"/>
    </row>
    <row r="51" spans="1:14" ht="25.5" x14ac:dyDescent="0.25">
      <c r="A51" s="147" t="s">
        <v>32</v>
      </c>
      <c r="B51" s="149">
        <v>1040</v>
      </c>
      <c r="C51" s="149">
        <v>48591.38</v>
      </c>
      <c r="D51" s="373">
        <f>D52+D62</f>
        <v>70804.257400000002</v>
      </c>
      <c r="E51" s="263">
        <f>E52+E62</f>
        <v>48900</v>
      </c>
      <c r="F51" s="28">
        <f>E51/4</f>
        <v>12225</v>
      </c>
      <c r="G51" s="28">
        <f>F51</f>
        <v>12225</v>
      </c>
      <c r="H51" s="31">
        <f>G51</f>
        <v>12225</v>
      </c>
      <c r="I51" s="31">
        <f>H51</f>
        <v>12225</v>
      </c>
      <c r="J51" s="97" t="s">
        <v>423</v>
      </c>
      <c r="L51">
        <f>16900+3900+11000+2700+13200+500</f>
        <v>48200</v>
      </c>
    </row>
    <row r="52" spans="1:14" ht="63.75" x14ac:dyDescent="0.25">
      <c r="A52" s="46" t="s">
        <v>676</v>
      </c>
      <c r="B52" s="148">
        <v>1041</v>
      </c>
      <c r="C52" s="148">
        <f>C53+C54+C55+C56+C57+C58</f>
        <v>35361.410000000003</v>
      </c>
      <c r="D52" s="26">
        <f t="shared" ref="D52:I52" si="2">D55+D56+D57</f>
        <v>54237.897400000002</v>
      </c>
      <c r="E52" s="263">
        <f t="shared" si="2"/>
        <v>35700</v>
      </c>
      <c r="F52" s="28">
        <f t="shared" si="2"/>
        <v>8925</v>
      </c>
      <c r="G52" s="28">
        <f t="shared" si="2"/>
        <v>8925</v>
      </c>
      <c r="H52" s="31">
        <f t="shared" si="2"/>
        <v>8925</v>
      </c>
      <c r="I52" s="31">
        <f t="shared" si="2"/>
        <v>8925</v>
      </c>
      <c r="J52" s="22"/>
      <c r="L52">
        <f>6908.62*2*12</f>
        <v>165806.88</v>
      </c>
    </row>
    <row r="53" spans="1:14" ht="25.5" x14ac:dyDescent="0.25">
      <c r="A53" s="109" t="s">
        <v>248</v>
      </c>
      <c r="B53" s="150" t="s">
        <v>411</v>
      </c>
      <c r="C53" s="150"/>
      <c r="D53" s="26">
        <v>0</v>
      </c>
      <c r="E53" s="263">
        <v>0</v>
      </c>
      <c r="F53" s="28">
        <v>0</v>
      </c>
      <c r="G53" s="28">
        <v>0</v>
      </c>
      <c r="H53" s="31">
        <v>0</v>
      </c>
      <c r="I53" s="31">
        <v>0</v>
      </c>
      <c r="J53" s="76"/>
      <c r="L53">
        <f>L52/12</f>
        <v>13817.24</v>
      </c>
      <c r="M53">
        <f>15*311*12</f>
        <v>55980</v>
      </c>
      <c r="N53">
        <f>3080+45</f>
        <v>3125</v>
      </c>
    </row>
    <row r="54" spans="1:14" x14ac:dyDescent="0.25">
      <c r="A54" s="109" t="s">
        <v>249</v>
      </c>
      <c r="B54" s="150" t="s">
        <v>412</v>
      </c>
      <c r="C54" s="150">
        <f>3950.95+300</f>
        <v>4250.95</v>
      </c>
      <c r="D54" s="26">
        <v>0</v>
      </c>
      <c r="E54" s="263">
        <v>0</v>
      </c>
      <c r="F54" s="28">
        <v>0</v>
      </c>
      <c r="G54" s="28">
        <v>0</v>
      </c>
      <c r="H54" s="31">
        <v>0</v>
      </c>
      <c r="I54" s="31">
        <v>0</v>
      </c>
      <c r="J54" s="76"/>
      <c r="N54">
        <f>5*3125*12</f>
        <v>187500</v>
      </c>
    </row>
    <row r="55" spans="1:14" ht="25.5" x14ac:dyDescent="0.25">
      <c r="A55" s="109" t="s">
        <v>250</v>
      </c>
      <c r="B55" s="150" t="s">
        <v>413</v>
      </c>
      <c r="C55" s="150">
        <v>14083.65</v>
      </c>
      <c r="D55" s="26">
        <v>16665</v>
      </c>
      <c r="E55" s="263">
        <v>16900</v>
      </c>
      <c r="F55" s="28">
        <f>E55/4</f>
        <v>4225</v>
      </c>
      <c r="G55" s="28">
        <f>F55</f>
        <v>4225</v>
      </c>
      <c r="H55" s="31">
        <f>F55</f>
        <v>4225</v>
      </c>
      <c r="I55" s="31">
        <f>H55</f>
        <v>4225</v>
      </c>
      <c r="J55" s="76"/>
      <c r="N55">
        <f>20*45*12</f>
        <v>10800</v>
      </c>
    </row>
    <row r="56" spans="1:14" ht="25.5" x14ac:dyDescent="0.25">
      <c r="A56" s="109" t="s">
        <v>251</v>
      </c>
      <c r="B56" s="150" t="s">
        <v>414</v>
      </c>
      <c r="C56" s="150">
        <v>2791.81</v>
      </c>
      <c r="D56" s="26">
        <v>3615</v>
      </c>
      <c r="E56" s="263">
        <v>3900</v>
      </c>
      <c r="F56" s="28">
        <f>E56/4</f>
        <v>975</v>
      </c>
      <c r="G56" s="28">
        <f>F56</f>
        <v>975</v>
      </c>
      <c r="H56" s="31">
        <f>G56</f>
        <v>975</v>
      </c>
      <c r="I56" s="31">
        <f>H56</f>
        <v>975</v>
      </c>
      <c r="J56" s="22"/>
      <c r="M56">
        <f>55980+187500+10800+21600</f>
        <v>275880</v>
      </c>
      <c r="N56">
        <f>20*90*12</f>
        <v>21600</v>
      </c>
    </row>
    <row r="57" spans="1:14" ht="63.75" x14ac:dyDescent="0.25">
      <c r="A57" s="109" t="s">
        <v>252</v>
      </c>
      <c r="B57" s="150" t="s">
        <v>415</v>
      </c>
      <c r="C57" s="150">
        <f>731.92+2117.64+9156.26+957.58+1000+271.6</f>
        <v>14235</v>
      </c>
      <c r="D57" s="26">
        <f>10844.929+465.071+8835+100+1257+2729.313+5341.6734+3873+173+338.911</f>
        <v>33957.897400000002</v>
      </c>
      <c r="E57" s="264">
        <f>11000+2700+500+400+300</f>
        <v>14900</v>
      </c>
      <c r="F57" s="28">
        <f>E57/4</f>
        <v>3725</v>
      </c>
      <c r="G57" s="28">
        <f>F57</f>
        <v>3725</v>
      </c>
      <c r="H57" s="31">
        <f>G57</f>
        <v>3725</v>
      </c>
      <c r="I57" s="31">
        <f>H57</f>
        <v>3725</v>
      </c>
      <c r="J57" s="22"/>
    </row>
    <row r="58" spans="1:14" ht="25.5" x14ac:dyDescent="0.25">
      <c r="A58" s="109" t="s">
        <v>253</v>
      </c>
      <c r="B58" s="150" t="s">
        <v>416</v>
      </c>
      <c r="C58" s="150">
        <v>0</v>
      </c>
      <c r="D58" s="26">
        <v>0</v>
      </c>
      <c r="E58" s="263">
        <v>0</v>
      </c>
      <c r="F58" s="28">
        <v>0</v>
      </c>
      <c r="G58" s="28">
        <v>0</v>
      </c>
      <c r="H58" s="31">
        <v>0</v>
      </c>
      <c r="I58" s="31">
        <v>0</v>
      </c>
      <c r="J58" s="22"/>
    </row>
    <row r="59" spans="1:14" ht="42.75" customHeight="1" x14ac:dyDescent="0.25">
      <c r="A59" s="46" t="s">
        <v>479</v>
      </c>
      <c r="B59" s="89">
        <v>1042</v>
      </c>
      <c r="C59" s="89">
        <f>C60+C61</f>
        <v>0</v>
      </c>
      <c r="D59" s="26">
        <v>0</v>
      </c>
      <c r="E59" s="263">
        <v>0</v>
      </c>
      <c r="F59" s="28">
        <v>0</v>
      </c>
      <c r="G59" s="28">
        <v>0</v>
      </c>
      <c r="H59" s="31">
        <v>0</v>
      </c>
      <c r="I59" s="31">
        <v>0</v>
      </c>
      <c r="J59" s="91"/>
    </row>
    <row r="60" spans="1:14" ht="25.5" x14ac:dyDescent="0.25">
      <c r="A60" s="109" t="s">
        <v>265</v>
      </c>
      <c r="B60" s="150" t="s">
        <v>417</v>
      </c>
      <c r="C60" s="150"/>
      <c r="D60" s="26">
        <v>0</v>
      </c>
      <c r="E60" s="263">
        <v>0</v>
      </c>
      <c r="F60" s="28">
        <v>0</v>
      </c>
      <c r="G60" s="28">
        <v>0</v>
      </c>
      <c r="H60" s="31">
        <v>0</v>
      </c>
      <c r="I60" s="31">
        <v>0</v>
      </c>
      <c r="J60" s="91"/>
    </row>
    <row r="61" spans="1:14" x14ac:dyDescent="0.25">
      <c r="A61" s="109" t="s">
        <v>31</v>
      </c>
      <c r="B61" s="150" t="s">
        <v>418</v>
      </c>
      <c r="C61" s="150"/>
      <c r="D61" s="26"/>
      <c r="E61" s="263"/>
      <c r="F61" s="28">
        <v>0</v>
      </c>
      <c r="G61" s="28">
        <v>0</v>
      </c>
      <c r="H61" s="31">
        <v>0</v>
      </c>
      <c r="I61" s="31">
        <v>0</v>
      </c>
      <c r="J61" s="91"/>
    </row>
    <row r="62" spans="1:14" ht="25.5" x14ac:dyDescent="0.25">
      <c r="A62" s="46" t="s">
        <v>677</v>
      </c>
      <c r="B62" s="89">
        <v>1043</v>
      </c>
      <c r="C62" s="89">
        <v>13229.97</v>
      </c>
      <c r="D62" s="26">
        <v>16566.36</v>
      </c>
      <c r="E62" s="263">
        <v>13200</v>
      </c>
      <c r="F62" s="28">
        <v>9500</v>
      </c>
      <c r="G62" s="28">
        <v>3500</v>
      </c>
      <c r="H62" s="31">
        <v>2800</v>
      </c>
      <c r="I62" s="31">
        <v>2266.3629999999998</v>
      </c>
      <c r="J62" s="91"/>
    </row>
    <row r="63" spans="1:14" x14ac:dyDescent="0.25">
      <c r="A63" s="109" t="s">
        <v>267</v>
      </c>
      <c r="B63" s="150" t="s">
        <v>419</v>
      </c>
      <c r="C63" s="150">
        <v>0</v>
      </c>
      <c r="D63" s="26">
        <v>0</v>
      </c>
      <c r="E63" s="263"/>
      <c r="F63" s="28">
        <v>0</v>
      </c>
      <c r="G63" s="28">
        <v>0</v>
      </c>
      <c r="H63" s="31">
        <v>0</v>
      </c>
      <c r="I63" s="31">
        <v>0</v>
      </c>
      <c r="J63" s="91"/>
    </row>
    <row r="64" spans="1:14" x14ac:dyDescent="0.25">
      <c r="A64" s="109" t="s">
        <v>404</v>
      </c>
      <c r="B64" s="150" t="s">
        <v>420</v>
      </c>
      <c r="C64" s="150">
        <v>0</v>
      </c>
      <c r="D64" s="26">
        <v>0</v>
      </c>
      <c r="E64" s="263">
        <v>0</v>
      </c>
      <c r="F64" s="28">
        <v>0</v>
      </c>
      <c r="G64" s="28">
        <v>0</v>
      </c>
      <c r="H64" s="31">
        <v>0</v>
      </c>
      <c r="I64" s="31">
        <v>0</v>
      </c>
      <c r="J64" s="91"/>
    </row>
    <row r="65" spans="1:11" x14ac:dyDescent="0.25">
      <c r="A65" s="95" t="s">
        <v>33</v>
      </c>
      <c r="B65" s="34">
        <v>1050</v>
      </c>
      <c r="C65" s="34">
        <v>19256.38</v>
      </c>
      <c r="D65" s="31">
        <v>0</v>
      </c>
      <c r="E65" s="263">
        <v>0</v>
      </c>
      <c r="F65" s="28">
        <v>0</v>
      </c>
      <c r="G65" s="28">
        <v>0</v>
      </c>
      <c r="H65" s="28">
        <v>0</v>
      </c>
      <c r="I65" s="28"/>
      <c r="J65" s="97" t="s">
        <v>424</v>
      </c>
    </row>
    <row r="66" spans="1:11" x14ac:dyDescent="0.25">
      <c r="A66" s="182" t="s">
        <v>34</v>
      </c>
      <c r="B66" s="183">
        <v>1051</v>
      </c>
      <c r="C66" s="32">
        <v>0</v>
      </c>
      <c r="D66" s="31">
        <v>0</v>
      </c>
      <c r="E66" s="263">
        <v>0</v>
      </c>
      <c r="F66" s="28">
        <v>0</v>
      </c>
      <c r="G66" s="31">
        <v>0</v>
      </c>
      <c r="H66" s="31">
        <v>0</v>
      </c>
      <c r="I66" s="31">
        <v>0</v>
      </c>
      <c r="J66" s="22"/>
    </row>
    <row r="67" spans="1:11" x14ac:dyDescent="0.25">
      <c r="A67" s="182" t="s">
        <v>35</v>
      </c>
      <c r="B67" s="183">
        <v>1052</v>
      </c>
      <c r="C67" s="32">
        <v>0</v>
      </c>
      <c r="D67" s="33">
        <v>0</v>
      </c>
      <c r="E67" s="263">
        <v>0</v>
      </c>
      <c r="F67" s="28">
        <v>0</v>
      </c>
      <c r="G67" s="31">
        <v>0</v>
      </c>
      <c r="H67" s="31">
        <v>0</v>
      </c>
      <c r="I67" s="31">
        <v>0</v>
      </c>
      <c r="J67" s="22"/>
    </row>
    <row r="68" spans="1:11" ht="25.5" x14ac:dyDescent="0.25">
      <c r="A68" s="182" t="s">
        <v>36</v>
      </c>
      <c r="B68" s="183">
        <v>1053</v>
      </c>
      <c r="C68" s="32">
        <v>0</v>
      </c>
      <c r="D68" s="33">
        <v>0</v>
      </c>
      <c r="E68" s="263">
        <v>0</v>
      </c>
      <c r="F68" s="28">
        <v>0</v>
      </c>
      <c r="G68" s="31">
        <v>0</v>
      </c>
      <c r="H68" s="31">
        <v>0</v>
      </c>
      <c r="I68" s="31">
        <v>0</v>
      </c>
      <c r="J68" s="22"/>
    </row>
    <row r="69" spans="1:11" x14ac:dyDescent="0.25">
      <c r="A69" s="184" t="s">
        <v>37</v>
      </c>
      <c r="B69" s="183">
        <v>1054</v>
      </c>
      <c r="C69" s="32">
        <v>0</v>
      </c>
      <c r="D69" s="33">
        <v>0</v>
      </c>
      <c r="E69" s="263">
        <v>0</v>
      </c>
      <c r="F69" s="28">
        <v>0</v>
      </c>
      <c r="G69" s="31">
        <v>0</v>
      </c>
      <c r="H69" s="31">
        <v>0</v>
      </c>
      <c r="I69" s="31">
        <v>0</v>
      </c>
      <c r="J69" s="22"/>
    </row>
    <row r="70" spans="1:11" ht="25.5" x14ac:dyDescent="0.25">
      <c r="A70" s="35" t="s">
        <v>38</v>
      </c>
      <c r="B70" s="183">
        <v>1055</v>
      </c>
      <c r="C70" s="32">
        <v>0</v>
      </c>
      <c r="D70" s="33">
        <v>0</v>
      </c>
      <c r="E70" s="263">
        <v>0</v>
      </c>
      <c r="F70" s="28">
        <v>0</v>
      </c>
      <c r="G70" s="31">
        <v>0</v>
      </c>
      <c r="H70" s="31">
        <v>0</v>
      </c>
      <c r="I70" s="31">
        <v>0</v>
      </c>
      <c r="J70" s="22"/>
    </row>
    <row r="71" spans="1:11" ht="57.75" customHeight="1" x14ac:dyDescent="0.25">
      <c r="A71" s="184" t="s">
        <v>39</v>
      </c>
      <c r="B71" s="148">
        <v>1056</v>
      </c>
      <c r="C71" s="151">
        <v>0</v>
      </c>
      <c r="D71" s="158">
        <v>0</v>
      </c>
      <c r="E71" s="263">
        <v>0</v>
      </c>
      <c r="F71" s="28">
        <v>0</v>
      </c>
      <c r="G71" s="28">
        <v>0</v>
      </c>
      <c r="H71" s="28">
        <v>0</v>
      </c>
      <c r="I71" s="28">
        <v>0</v>
      </c>
      <c r="J71" s="159" t="s">
        <v>40</v>
      </c>
    </row>
    <row r="72" spans="1:11" x14ac:dyDescent="0.25">
      <c r="A72" s="408" t="s">
        <v>41</v>
      </c>
      <c r="B72" s="409"/>
      <c r="C72" s="409"/>
      <c r="D72" s="409"/>
      <c r="E72" s="409"/>
      <c r="F72" s="409"/>
      <c r="G72" s="409"/>
      <c r="H72" s="409"/>
      <c r="I72" s="409"/>
      <c r="J72" s="410"/>
    </row>
    <row r="73" spans="1:11" ht="25.5" x14ac:dyDescent="0.25">
      <c r="A73" s="24" t="s">
        <v>42</v>
      </c>
      <c r="B73" s="34">
        <v>1100</v>
      </c>
      <c r="C73" s="34">
        <f>C74+C81+C88+C89+C90+C91+C92+C93+C94+C95+C96</f>
        <v>105881.94</v>
      </c>
      <c r="D73" s="27">
        <f>D74+D81+D88+D89+D90+D91+D92+D93+D94+D95+D96</f>
        <v>117667.43560000001</v>
      </c>
      <c r="E73" s="27">
        <f>E74+E81+E88+E89+E90+E93+E95-E96</f>
        <v>152514.989446272</v>
      </c>
      <c r="F73" s="27">
        <f>F74+F81+F88+F89+F90+F93+F95-F96</f>
        <v>46237.125964568004</v>
      </c>
      <c r="G73" s="27">
        <f>G74+G81+G88+G89+G90+G93+G95-G96</f>
        <v>30568.017361568</v>
      </c>
      <c r="H73" s="27">
        <f>H74+H81+H88+H89+H90+H93+H95-H96</f>
        <v>34002.767361568003</v>
      </c>
      <c r="I73" s="27">
        <f>I74+I81+I88+I89+I90+I93+I95-I96</f>
        <v>41707.078758568001</v>
      </c>
      <c r="J73" s="97" t="s">
        <v>426</v>
      </c>
      <c r="K73" s="375">
        <f>F73+G73+H73+I73</f>
        <v>152514.98944627203</v>
      </c>
    </row>
    <row r="74" spans="1:11" x14ac:dyDescent="0.25">
      <c r="A74" s="35" t="s">
        <v>262</v>
      </c>
      <c r="B74" s="36">
        <v>1110</v>
      </c>
      <c r="C74" s="36">
        <v>8081</v>
      </c>
      <c r="D74" s="71">
        <f>D75+D76+D77+D78+D79+D80</f>
        <v>906.70999999999992</v>
      </c>
      <c r="E74" s="71">
        <f>E75+E77+E78+E79+E80</f>
        <v>15554.31</v>
      </c>
      <c r="F74" s="343">
        <f>E74/4</f>
        <v>3888.5774999999999</v>
      </c>
      <c r="G74" s="343">
        <f>F74</f>
        <v>3888.5774999999999</v>
      </c>
      <c r="H74" s="343">
        <f>G74</f>
        <v>3888.5774999999999</v>
      </c>
      <c r="I74" s="343">
        <f>E74-F74-G74-H74</f>
        <v>3888.5775000000008</v>
      </c>
      <c r="J74" s="37" t="s">
        <v>427</v>
      </c>
    </row>
    <row r="75" spans="1:11" ht="18.75" customHeight="1" x14ac:dyDescent="0.25">
      <c r="A75" s="38" t="s">
        <v>263</v>
      </c>
      <c r="B75" s="39">
        <v>1111</v>
      </c>
      <c r="C75" s="39">
        <v>3199.1</v>
      </c>
      <c r="D75" s="40">
        <f>861.61</f>
        <v>861.61</v>
      </c>
      <c r="E75" s="40">
        <f>254.31+9680</f>
        <v>9934.31</v>
      </c>
      <c r="F75" s="40">
        <f>E75*0.2</f>
        <v>1986.8620000000001</v>
      </c>
      <c r="G75" s="327">
        <f>E75*0.3</f>
        <v>2980.2929999999997</v>
      </c>
      <c r="H75" s="40">
        <f>E75:E76*0.3</f>
        <v>2980.2929999999997</v>
      </c>
      <c r="I75" s="328">
        <f>E75-F75-G75-H75</f>
        <v>1986.8620000000001</v>
      </c>
      <c r="J75" s="37"/>
    </row>
    <row r="76" spans="1:11" x14ac:dyDescent="0.25">
      <c r="A76" s="41" t="s">
        <v>271</v>
      </c>
      <c r="B76" s="39">
        <v>1112</v>
      </c>
      <c r="C76" s="39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145" t="s">
        <v>369</v>
      </c>
    </row>
    <row r="77" spans="1:11" x14ac:dyDescent="0.25">
      <c r="A77" s="42" t="s">
        <v>272</v>
      </c>
      <c r="B77" s="39">
        <v>1113</v>
      </c>
      <c r="C77" s="39">
        <v>3</v>
      </c>
      <c r="D77" s="40">
        <v>3.5</v>
      </c>
      <c r="E77" s="40">
        <f>650</f>
        <v>650</v>
      </c>
      <c r="F77" s="40">
        <f>E77/4</f>
        <v>162.5</v>
      </c>
      <c r="G77" s="40">
        <f>1.2</f>
        <v>1.2</v>
      </c>
      <c r="H77" s="40">
        <v>0.62</v>
      </c>
      <c r="I77" s="40">
        <f>E77-F77-G77-H77</f>
        <v>485.68</v>
      </c>
      <c r="J77" s="37"/>
    </row>
    <row r="78" spans="1:11" x14ac:dyDescent="0.25">
      <c r="A78" s="43" t="s">
        <v>405</v>
      </c>
      <c r="B78" s="39">
        <v>1114</v>
      </c>
      <c r="C78" s="39">
        <v>8.6999999999999993</v>
      </c>
      <c r="D78" s="40">
        <v>9.3000000000000007</v>
      </c>
      <c r="E78" s="40">
        <v>200</v>
      </c>
      <c r="F78" s="40">
        <f>E78/4</f>
        <v>50</v>
      </c>
      <c r="G78" s="40">
        <f>F78</f>
        <v>50</v>
      </c>
      <c r="H78" s="40">
        <f>G78</f>
        <v>50</v>
      </c>
      <c r="I78" s="40">
        <f>H78</f>
        <v>50</v>
      </c>
      <c r="J78" s="37"/>
    </row>
    <row r="79" spans="1:11" x14ac:dyDescent="0.25">
      <c r="A79" s="42" t="s">
        <v>406</v>
      </c>
      <c r="B79" s="39">
        <v>1115</v>
      </c>
      <c r="C79" s="39">
        <v>7.9</v>
      </c>
      <c r="D79" s="40">
        <v>8.5</v>
      </c>
      <c r="E79" s="40">
        <f>70+200</f>
        <v>270</v>
      </c>
      <c r="F79" s="40">
        <f>E79/4</f>
        <v>67.5</v>
      </c>
      <c r="G79" s="40">
        <f>F79</f>
        <v>67.5</v>
      </c>
      <c r="H79" s="40">
        <f>F79</f>
        <v>67.5</v>
      </c>
      <c r="I79" s="40">
        <f>H79</f>
        <v>67.5</v>
      </c>
      <c r="J79" s="37"/>
    </row>
    <row r="80" spans="1:11" ht="15.75" customHeight="1" x14ac:dyDescent="0.25">
      <c r="A80" s="42" t="s">
        <v>407</v>
      </c>
      <c r="B80" s="39">
        <v>1116</v>
      </c>
      <c r="C80" s="37">
        <f>21.9+4000.9</f>
        <v>4022.8</v>
      </c>
      <c r="D80" s="40">
        <v>23.8</v>
      </c>
      <c r="E80" s="40">
        <v>4500</v>
      </c>
      <c r="F80" s="40">
        <f>13.8/2</f>
        <v>6.9</v>
      </c>
      <c r="G80" s="322">
        <v>5</v>
      </c>
      <c r="H80" s="322">
        <v>5</v>
      </c>
      <c r="I80" s="40">
        <v>6.9</v>
      </c>
      <c r="J80" s="37"/>
    </row>
    <row r="81" spans="1:12" ht="26.25" x14ac:dyDescent="0.25">
      <c r="A81" s="40" t="s">
        <v>44</v>
      </c>
      <c r="B81" s="37">
        <v>1120</v>
      </c>
      <c r="C81" s="37">
        <f>C82+C83+C84</f>
        <v>29485.300000000003</v>
      </c>
      <c r="D81" s="40">
        <v>37201.730000000003</v>
      </c>
      <c r="E81" s="40">
        <f>E82+E83+E84</f>
        <v>32862.32</v>
      </c>
      <c r="F81" s="324">
        <f>F82+F83+F84</f>
        <v>16327.708603000001</v>
      </c>
      <c r="G81" s="40">
        <f>G82+G83</f>
        <v>658.6</v>
      </c>
      <c r="H81" s="40">
        <f>H82+H83</f>
        <v>4078.3500000000008</v>
      </c>
      <c r="I81" s="324">
        <f>I82+I83+I84</f>
        <v>11797.661397000002</v>
      </c>
      <c r="J81" s="37" t="s">
        <v>428</v>
      </c>
    </row>
    <row r="82" spans="1:12" x14ac:dyDescent="0.25">
      <c r="A82" s="43" t="s">
        <v>45</v>
      </c>
      <c r="B82" s="39">
        <v>1121</v>
      </c>
      <c r="C82" s="39">
        <f>2325.4+1604.7+1234.35</f>
        <v>5164.4500000000007</v>
      </c>
      <c r="D82" s="40">
        <f>4405.85+2500</f>
        <v>6905.85</v>
      </c>
      <c r="E82" s="40">
        <f>5525.35+2300</f>
        <v>7825.35</v>
      </c>
      <c r="F82" s="40">
        <v>1560</v>
      </c>
      <c r="G82" s="40">
        <v>657.9</v>
      </c>
      <c r="H82" s="40">
        <f>E82-F82-G82-I82</f>
        <v>4077.4500000000007</v>
      </c>
      <c r="I82" s="40">
        <v>1530</v>
      </c>
      <c r="J82" s="325"/>
    </row>
    <row r="83" spans="1:12" ht="26.25" x14ac:dyDescent="0.25">
      <c r="A83" s="43" t="s">
        <v>46</v>
      </c>
      <c r="B83" s="39">
        <v>1122</v>
      </c>
      <c r="C83" s="39">
        <f>1111.6+602.05</f>
        <v>1713.6499999999999</v>
      </c>
      <c r="D83" s="40">
        <v>1174.5</v>
      </c>
      <c r="E83" s="40">
        <v>1532.14</v>
      </c>
      <c r="F83" s="323">
        <f>E83-I83-H83-G83</f>
        <v>902.20938599999999</v>
      </c>
      <c r="G83" s="40">
        <v>0.7</v>
      </c>
      <c r="H83" s="40">
        <v>0.9</v>
      </c>
      <c r="I83" s="324">
        <f>E83*0.4101</f>
        <v>628.33061400000008</v>
      </c>
      <c r="J83" s="37"/>
    </row>
    <row r="84" spans="1:12" x14ac:dyDescent="0.25">
      <c r="A84" s="43" t="s">
        <v>47</v>
      </c>
      <c r="B84" s="39">
        <v>1123</v>
      </c>
      <c r="C84" s="39">
        <v>22607.200000000001</v>
      </c>
      <c r="D84" s="40">
        <v>29321.38</v>
      </c>
      <c r="E84" s="40">
        <v>23504.83</v>
      </c>
      <c r="F84" s="324">
        <f>E84*0.5899</f>
        <v>13865.499217</v>
      </c>
      <c r="G84" s="40">
        <v>0</v>
      </c>
      <c r="H84" s="40">
        <v>0</v>
      </c>
      <c r="I84" s="324">
        <f>E84-F84</f>
        <v>9639.3307830000012</v>
      </c>
      <c r="J84" s="37"/>
    </row>
    <row r="85" spans="1:12" x14ac:dyDescent="0.25">
      <c r="A85" s="43" t="s">
        <v>48</v>
      </c>
      <c r="B85" s="39">
        <v>1124</v>
      </c>
      <c r="C85" s="39">
        <v>0</v>
      </c>
      <c r="D85" s="40">
        <v>0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37"/>
    </row>
    <row r="86" spans="1:12" x14ac:dyDescent="0.25">
      <c r="A86" s="43" t="s">
        <v>49</v>
      </c>
      <c r="B86" s="39">
        <v>1125</v>
      </c>
      <c r="C86" s="39">
        <v>0</v>
      </c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37"/>
    </row>
    <row r="87" spans="1:12" x14ac:dyDescent="0.25">
      <c r="A87" s="42" t="s">
        <v>408</v>
      </c>
      <c r="B87" s="152">
        <v>1126</v>
      </c>
      <c r="C87" s="45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37"/>
    </row>
    <row r="88" spans="1:12" x14ac:dyDescent="0.25">
      <c r="A88" s="44" t="s">
        <v>50</v>
      </c>
      <c r="B88" s="45">
        <v>1130</v>
      </c>
      <c r="C88" s="45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37"/>
    </row>
    <row r="89" spans="1:12" x14ac:dyDescent="0.25">
      <c r="A89" s="40" t="s">
        <v>51</v>
      </c>
      <c r="B89" s="37">
        <v>1140</v>
      </c>
      <c r="C89" s="37">
        <v>36530</v>
      </c>
      <c r="D89" s="40">
        <v>43844.98</v>
      </c>
      <c r="E89" s="324">
        <f>(N114-O111-O112)/1000</f>
        <v>66410.720857599998</v>
      </c>
      <c r="F89" s="324">
        <f>E89/4</f>
        <v>16602.680214399999</v>
      </c>
      <c r="G89" s="324">
        <f>E89/4</f>
        <v>16602.680214399999</v>
      </c>
      <c r="H89" s="324">
        <f>E89/4</f>
        <v>16602.680214399999</v>
      </c>
      <c r="I89" s="324">
        <f>E89/4</f>
        <v>16602.680214399999</v>
      </c>
      <c r="J89" s="37"/>
      <c r="L89">
        <f>4335455.4*1.3</f>
        <v>5636092.0200000005</v>
      </c>
    </row>
    <row r="90" spans="1:12" x14ac:dyDescent="0.25">
      <c r="A90" s="40" t="s">
        <v>52</v>
      </c>
      <c r="B90" s="37">
        <v>1150</v>
      </c>
      <c r="C90" s="37">
        <v>7897.39</v>
      </c>
      <c r="D90" s="324">
        <f>D89*0.22</f>
        <v>9645.8956000000017</v>
      </c>
      <c r="E90" s="324">
        <f>E89*0.22</f>
        <v>14610.358588671999</v>
      </c>
      <c r="F90" s="324">
        <f>E90/4</f>
        <v>3652.5896471679998</v>
      </c>
      <c r="G90" s="324">
        <f>F90</f>
        <v>3652.5896471679998</v>
      </c>
      <c r="H90" s="324">
        <f>G90</f>
        <v>3652.5896471679998</v>
      </c>
      <c r="I90" s="324">
        <f>H90</f>
        <v>3652.5896471679998</v>
      </c>
      <c r="J90" s="37"/>
    </row>
    <row r="91" spans="1:12" x14ac:dyDescent="0.25">
      <c r="A91" s="44" t="s">
        <v>53</v>
      </c>
      <c r="B91" s="37">
        <v>1160</v>
      </c>
      <c r="C91" s="37">
        <v>0</v>
      </c>
      <c r="D91" s="40">
        <v>0</v>
      </c>
      <c r="E91" s="40">
        <v>0</v>
      </c>
      <c r="F91" s="324"/>
      <c r="G91" s="324"/>
      <c r="H91" s="324"/>
      <c r="I91" s="324"/>
      <c r="J91" s="37"/>
    </row>
    <row r="92" spans="1:12" x14ac:dyDescent="0.25">
      <c r="A92" s="40" t="s">
        <v>370</v>
      </c>
      <c r="B92" s="145">
        <v>1170</v>
      </c>
      <c r="C92" s="145">
        <v>0</v>
      </c>
      <c r="D92" s="44">
        <v>0</v>
      </c>
      <c r="E92" s="326">
        <v>0</v>
      </c>
      <c r="F92" s="326">
        <f>E92/4</f>
        <v>0</v>
      </c>
      <c r="G92" s="326">
        <f>E92/4</f>
        <v>0</v>
      </c>
      <c r="H92" s="326">
        <f>G92</f>
        <v>0</v>
      </c>
      <c r="I92" s="326">
        <f>H92</f>
        <v>0</v>
      </c>
      <c r="J92" s="37" t="s">
        <v>268</v>
      </c>
    </row>
    <row r="93" spans="1:12" ht="28.5" customHeight="1" x14ac:dyDescent="0.25">
      <c r="A93" s="40" t="s">
        <v>70</v>
      </c>
      <c r="B93" s="145">
        <v>1180</v>
      </c>
      <c r="C93" s="145">
        <v>5.8</v>
      </c>
      <c r="D93" s="44">
        <v>6.5</v>
      </c>
      <c r="E93" s="44">
        <f>15</f>
        <v>15</v>
      </c>
      <c r="F93" s="44">
        <v>0</v>
      </c>
      <c r="G93" s="44">
        <v>0</v>
      </c>
      <c r="H93" s="44">
        <f>E93</f>
        <v>15</v>
      </c>
      <c r="I93" s="44">
        <v>0</v>
      </c>
      <c r="J93" s="145"/>
    </row>
    <row r="94" spans="1:12" ht="51.75" x14ac:dyDescent="0.25">
      <c r="A94" s="40" t="s">
        <v>54</v>
      </c>
      <c r="B94" s="37">
        <v>1190</v>
      </c>
      <c r="C94" s="37">
        <f>52.1+23.8</f>
        <v>75.900000000000006</v>
      </c>
      <c r="D94" s="40">
        <v>0</v>
      </c>
      <c r="E94" s="40">
        <v>0</v>
      </c>
      <c r="F94" s="40">
        <f>E94/4</f>
        <v>0</v>
      </c>
      <c r="G94" s="40">
        <f>F94</f>
        <v>0</v>
      </c>
      <c r="H94" s="40">
        <f>G94</f>
        <v>0</v>
      </c>
      <c r="I94" s="40">
        <f>H94</f>
        <v>0</v>
      </c>
      <c r="J94" s="37"/>
    </row>
    <row r="95" spans="1:12" x14ac:dyDescent="0.25">
      <c r="A95" s="40" t="s">
        <v>55</v>
      </c>
      <c r="B95" s="37">
        <v>1200</v>
      </c>
      <c r="C95" s="37">
        <v>23079.55</v>
      </c>
      <c r="D95" s="346">
        <f>26012-78.7-2.4</f>
        <v>25930.899999999998</v>
      </c>
      <c r="E95" s="40">
        <v>23193</v>
      </c>
      <c r="F95" s="324">
        <f>E95/4</f>
        <v>5798.25</v>
      </c>
      <c r="G95" s="324">
        <f>F95</f>
        <v>5798.25</v>
      </c>
      <c r="H95" s="324">
        <f>G95</f>
        <v>5798.25</v>
      </c>
      <c r="I95" s="324">
        <f>G95</f>
        <v>5798.25</v>
      </c>
      <c r="J95" s="37"/>
    </row>
    <row r="96" spans="1:12" x14ac:dyDescent="0.25">
      <c r="A96" s="40" t="s">
        <v>56</v>
      </c>
      <c r="B96" s="37">
        <v>1210</v>
      </c>
      <c r="C96" s="37">
        <v>727</v>
      </c>
      <c r="D96" s="40">
        <v>130.72</v>
      </c>
      <c r="E96" s="324">
        <v>130.72</v>
      </c>
      <c r="F96" s="40">
        <f>E96/4</f>
        <v>32.68</v>
      </c>
      <c r="G96" s="40">
        <f>F96</f>
        <v>32.68</v>
      </c>
      <c r="H96" s="40">
        <f>G96</f>
        <v>32.68</v>
      </c>
      <c r="I96" s="40">
        <f>H96</f>
        <v>32.68</v>
      </c>
      <c r="J96" s="37"/>
    </row>
    <row r="97" spans="1:18" x14ac:dyDescent="0.25">
      <c r="A97" s="40" t="s">
        <v>31</v>
      </c>
      <c r="B97" s="39" t="s">
        <v>425</v>
      </c>
      <c r="C97" s="39"/>
      <c r="D97" s="40">
        <v>0</v>
      </c>
      <c r="E97" s="40">
        <v>0</v>
      </c>
      <c r="F97" s="40"/>
      <c r="G97" s="40"/>
      <c r="H97" s="40"/>
      <c r="I97" s="40"/>
      <c r="J97" s="37"/>
    </row>
    <row r="98" spans="1:18" ht="26.25" x14ac:dyDescent="0.25">
      <c r="A98" s="47" t="s">
        <v>57</v>
      </c>
      <c r="B98" s="48">
        <v>1300</v>
      </c>
      <c r="C98" s="349">
        <f>C99+C106+C107+C108+C109+C110+C111+C112+C113+C114+C115+C118+C120</f>
        <v>2184.62</v>
      </c>
      <c r="D98" s="40">
        <v>3068.66</v>
      </c>
      <c r="E98" s="324">
        <f>E99+E106+E107+E109+E111+E113+E114+E115+E120+E121</f>
        <v>3474.8257359999998</v>
      </c>
      <c r="F98" s="324">
        <f>F99+F106+F107+F109+F111+F113+F114+F120</f>
        <v>911.78243399999997</v>
      </c>
      <c r="G98" s="324">
        <f>G99+G106+G107+G109+G111+G113+G114+G120</f>
        <v>811.78243399999997</v>
      </c>
      <c r="H98" s="324">
        <f>H99+H106+H107+H109+H111+H113+H114+H120</f>
        <v>811.78243399999997</v>
      </c>
      <c r="I98" s="324">
        <f>I99+I106+I107+I109+I111+I113+I114+I120</f>
        <v>811.78243399999997</v>
      </c>
      <c r="J98" s="37" t="s">
        <v>429</v>
      </c>
    </row>
    <row r="99" spans="1:18" x14ac:dyDescent="0.25">
      <c r="A99" s="35" t="s">
        <v>58</v>
      </c>
      <c r="B99" s="37">
        <v>1310</v>
      </c>
      <c r="C99" s="342">
        <f>C100+C101+C102+C103+C104+C105</f>
        <v>23.099999999999998</v>
      </c>
      <c r="D99" s="40">
        <v>199.02</v>
      </c>
      <c r="E99" s="324">
        <f>E100+E101+E102+E103+E104+E105</f>
        <v>172.77600000000001</v>
      </c>
      <c r="F99" s="324">
        <f>E99/4</f>
        <v>43.194000000000003</v>
      </c>
      <c r="G99" s="324">
        <f t="shared" ref="G99:I100" si="3">F99</f>
        <v>43.194000000000003</v>
      </c>
      <c r="H99" s="324">
        <f t="shared" si="3"/>
        <v>43.194000000000003</v>
      </c>
      <c r="I99" s="324">
        <f t="shared" si="3"/>
        <v>43.194000000000003</v>
      </c>
      <c r="J99" s="37" t="s">
        <v>59</v>
      </c>
    </row>
    <row r="100" spans="1:18" ht="27" customHeight="1" x14ac:dyDescent="0.25">
      <c r="A100" s="43" t="s">
        <v>409</v>
      </c>
      <c r="B100" s="39">
        <v>1311</v>
      </c>
      <c r="C100" s="320">
        <v>13.19</v>
      </c>
      <c r="D100" s="40">
        <v>15.8</v>
      </c>
      <c r="E100" s="324">
        <v>154.74600000000001</v>
      </c>
      <c r="F100" s="40">
        <f>E100/4</f>
        <v>38.686500000000002</v>
      </c>
      <c r="G100" s="40">
        <f t="shared" si="3"/>
        <v>38.686500000000002</v>
      </c>
      <c r="H100" s="40">
        <f t="shared" si="3"/>
        <v>38.686500000000002</v>
      </c>
      <c r="I100" s="40">
        <f t="shared" si="3"/>
        <v>38.686500000000002</v>
      </c>
      <c r="J100" s="37"/>
    </row>
    <row r="101" spans="1:18" ht="26.25" x14ac:dyDescent="0.25">
      <c r="A101" s="43" t="s">
        <v>60</v>
      </c>
      <c r="B101" s="39">
        <v>1312</v>
      </c>
      <c r="C101" s="39">
        <v>0</v>
      </c>
      <c r="D101" s="40">
        <v>99.72</v>
      </c>
      <c r="E101" s="40">
        <v>0</v>
      </c>
      <c r="F101" s="40">
        <f>E101/4</f>
        <v>0</v>
      </c>
      <c r="G101" s="40">
        <f>F101</f>
        <v>0</v>
      </c>
      <c r="H101" s="40">
        <f>F101</f>
        <v>0</v>
      </c>
      <c r="I101" s="40">
        <f>G101</f>
        <v>0</v>
      </c>
      <c r="J101" s="37"/>
      <c r="N101" t="s">
        <v>685</v>
      </c>
      <c r="O101" s="370">
        <v>0.12</v>
      </c>
    </row>
    <row r="102" spans="1:18" x14ac:dyDescent="0.25">
      <c r="A102" s="43" t="s">
        <v>61</v>
      </c>
      <c r="B102" s="39">
        <v>1313</v>
      </c>
      <c r="C102" s="39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37"/>
      <c r="M102" t="s">
        <v>684</v>
      </c>
      <c r="N102" s="369">
        <f>(190011.1+183102.49+68798.9+6908.62)*1.3*12</f>
        <v>7001609.3159999996</v>
      </c>
      <c r="O102" s="369">
        <f t="shared" ref="O102:O109" si="4">N102*1.12</f>
        <v>7841802.4339200007</v>
      </c>
    </row>
    <row r="103" spans="1:18" x14ac:dyDescent="0.25">
      <c r="A103" s="43" t="s">
        <v>62</v>
      </c>
      <c r="B103" s="39">
        <v>1314</v>
      </c>
      <c r="C103" s="39">
        <v>5.64</v>
      </c>
      <c r="D103" s="40">
        <v>12.5</v>
      </c>
      <c r="E103" s="40">
        <v>5.6</v>
      </c>
      <c r="F103" s="40">
        <f>E103/4</f>
        <v>1.4</v>
      </c>
      <c r="G103" s="40">
        <f t="shared" ref="G103:I104" si="5">F103</f>
        <v>1.4</v>
      </c>
      <c r="H103" s="40">
        <f t="shared" si="5"/>
        <v>1.4</v>
      </c>
      <c r="I103" s="40">
        <f t="shared" si="5"/>
        <v>1.4</v>
      </c>
      <c r="J103" s="37"/>
      <c r="M103" t="s">
        <v>686</v>
      </c>
      <c r="N103" s="369">
        <f>122287.34*1.3*12</f>
        <v>1907682.5039999997</v>
      </c>
      <c r="O103" s="369">
        <f t="shared" si="4"/>
        <v>2136604.40448</v>
      </c>
    </row>
    <row r="104" spans="1:18" x14ac:dyDescent="0.25">
      <c r="A104" s="43" t="s">
        <v>63</v>
      </c>
      <c r="B104" s="39">
        <v>1315</v>
      </c>
      <c r="C104" s="39">
        <v>4.2699999999999996</v>
      </c>
      <c r="D104" s="40">
        <v>71</v>
      </c>
      <c r="E104" s="40">
        <v>12.43</v>
      </c>
      <c r="F104" s="40">
        <f>E104/4</f>
        <v>3.1074999999999999</v>
      </c>
      <c r="G104" s="40">
        <f t="shared" si="5"/>
        <v>3.1074999999999999</v>
      </c>
      <c r="H104" s="40">
        <f t="shared" si="5"/>
        <v>3.1074999999999999</v>
      </c>
      <c r="I104" s="40">
        <f t="shared" si="5"/>
        <v>3.1074999999999999</v>
      </c>
      <c r="J104" s="37"/>
      <c r="M104" t="s">
        <v>687</v>
      </c>
      <c r="N104" s="369">
        <f>116461.57*1.3*12</f>
        <v>1816800.4920000003</v>
      </c>
      <c r="O104" s="369">
        <f t="shared" si="4"/>
        <v>2034816.5510400005</v>
      </c>
      <c r="Q104" t="s">
        <v>699</v>
      </c>
      <c r="R104">
        <v>2959.23</v>
      </c>
    </row>
    <row r="105" spans="1:18" x14ac:dyDescent="0.25">
      <c r="A105" s="43" t="s">
        <v>444</v>
      </c>
      <c r="B105" s="39">
        <v>1316</v>
      </c>
      <c r="C105" s="39">
        <v>0</v>
      </c>
      <c r="D105" s="40">
        <v>0</v>
      </c>
      <c r="E105" s="324">
        <v>0</v>
      </c>
      <c r="F105" s="324">
        <f>E105/4</f>
        <v>0</v>
      </c>
      <c r="G105" s="324">
        <f>F105</f>
        <v>0</v>
      </c>
      <c r="H105" s="324">
        <f>F105</f>
        <v>0</v>
      </c>
      <c r="I105" s="324">
        <f>G105</f>
        <v>0</v>
      </c>
      <c r="J105" s="37" t="s">
        <v>268</v>
      </c>
      <c r="M105" t="s">
        <v>688</v>
      </c>
      <c r="N105" s="369">
        <f>87396.42*1.3*12</f>
        <v>1363384.152</v>
      </c>
      <c r="O105" s="369">
        <f t="shared" si="4"/>
        <v>1526990.2502400002</v>
      </c>
      <c r="Q105">
        <f>195+220+195+195+200+200+220+195+200+400+250+440+400+240+220</f>
        <v>3770</v>
      </c>
      <c r="R105">
        <v>2899.2</v>
      </c>
    </row>
    <row r="106" spans="1:18" x14ac:dyDescent="0.25">
      <c r="A106" s="40" t="s">
        <v>51</v>
      </c>
      <c r="B106" s="37">
        <v>1320</v>
      </c>
      <c r="C106" s="39">
        <v>1534.39</v>
      </c>
      <c r="D106" s="40">
        <v>1896.34</v>
      </c>
      <c r="E106" s="324">
        <f>1953.49*1.12</f>
        <v>2187.9088000000002</v>
      </c>
      <c r="F106" s="324">
        <f>E106/4</f>
        <v>546.97720000000004</v>
      </c>
      <c r="G106" s="324">
        <f>F106</f>
        <v>546.97720000000004</v>
      </c>
      <c r="H106" s="324">
        <f>G106</f>
        <v>546.97720000000004</v>
      </c>
      <c r="I106" s="324">
        <f>H106</f>
        <v>546.97720000000004</v>
      </c>
      <c r="J106" s="37"/>
      <c r="M106" t="s">
        <v>689</v>
      </c>
      <c r="N106" s="369">
        <f>474240.76*1.3*12</f>
        <v>7398155.8560000006</v>
      </c>
      <c r="O106" s="369">
        <f t="shared" si="4"/>
        <v>8285934.558720001</v>
      </c>
      <c r="R106">
        <f>R104-R105</f>
        <v>60.0300000000002</v>
      </c>
    </row>
    <row r="107" spans="1:18" x14ac:dyDescent="0.25">
      <c r="A107" s="40" t="s">
        <v>52</v>
      </c>
      <c r="B107" s="37">
        <v>1330</v>
      </c>
      <c r="C107" s="39">
        <v>337.56</v>
      </c>
      <c r="D107" s="324">
        <f>D106*0.22</f>
        <v>417.19479999999999</v>
      </c>
      <c r="E107" s="324">
        <f>E106*0.22</f>
        <v>481.33993600000002</v>
      </c>
      <c r="F107" s="324">
        <f>E107/4</f>
        <v>120.33498400000001</v>
      </c>
      <c r="G107" s="324">
        <f>F107</f>
        <v>120.33498400000001</v>
      </c>
      <c r="H107" s="324">
        <f>G107</f>
        <v>120.33498400000001</v>
      </c>
      <c r="I107" s="324">
        <f>H107</f>
        <v>120.33498400000001</v>
      </c>
      <c r="J107" s="37"/>
      <c r="M107" t="s">
        <v>690</v>
      </c>
      <c r="N107">
        <f>1419225.15*1.5*12</f>
        <v>25546052.699999996</v>
      </c>
      <c r="O107">
        <f t="shared" si="4"/>
        <v>28611579.023999996</v>
      </c>
    </row>
    <row r="108" spans="1:18" ht="18.75" customHeight="1" x14ac:dyDescent="0.25">
      <c r="A108" s="40" t="s">
        <v>64</v>
      </c>
      <c r="B108" s="37">
        <v>1340</v>
      </c>
      <c r="C108" s="321">
        <v>0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37"/>
      <c r="M108" t="s">
        <v>691</v>
      </c>
      <c r="N108">
        <v>8412782.0700000003</v>
      </c>
      <c r="O108" s="369">
        <f t="shared" si="4"/>
        <v>9422315.9184000008</v>
      </c>
    </row>
    <row r="109" spans="1:18" x14ac:dyDescent="0.25">
      <c r="A109" s="44" t="s">
        <v>65</v>
      </c>
      <c r="B109" s="37">
        <v>1350</v>
      </c>
      <c r="C109" s="321">
        <v>0</v>
      </c>
      <c r="D109" s="40">
        <v>100</v>
      </c>
      <c r="E109" s="40">
        <v>100</v>
      </c>
      <c r="F109" s="40">
        <f>E109</f>
        <v>100</v>
      </c>
      <c r="G109" s="40">
        <v>0</v>
      </c>
      <c r="H109" s="40">
        <v>0</v>
      </c>
      <c r="I109" s="40">
        <v>0</v>
      </c>
      <c r="J109" s="37"/>
      <c r="M109" t="s">
        <v>692</v>
      </c>
      <c r="N109">
        <v>5848819.3899999997</v>
      </c>
      <c r="O109" s="369">
        <f t="shared" si="4"/>
        <v>6550677.7168000005</v>
      </c>
    </row>
    <row r="110" spans="1:18" x14ac:dyDescent="0.25">
      <c r="A110" s="44" t="s">
        <v>66</v>
      </c>
      <c r="B110" s="37">
        <v>1360</v>
      </c>
      <c r="C110" s="37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37"/>
      <c r="M110" s="268" t="s">
        <v>701</v>
      </c>
      <c r="N110" s="371">
        <f>N102+N103+N104+N105+N106+N107+N108+N109</f>
        <v>59295286.479999997</v>
      </c>
      <c r="O110" t="s">
        <v>693</v>
      </c>
    </row>
    <row r="111" spans="1:18" x14ac:dyDescent="0.25">
      <c r="A111" s="40" t="s">
        <v>67</v>
      </c>
      <c r="B111" s="37">
        <v>1370</v>
      </c>
      <c r="C111" s="37">
        <v>0</v>
      </c>
      <c r="D111" s="40">
        <v>180</v>
      </c>
      <c r="E111" s="40">
        <v>200</v>
      </c>
      <c r="F111" s="40">
        <f>E111/4</f>
        <v>50</v>
      </c>
      <c r="G111" s="40">
        <f>F111</f>
        <v>50</v>
      </c>
      <c r="H111" s="40">
        <f>G111</f>
        <v>50</v>
      </c>
      <c r="I111" s="40">
        <f>H111</f>
        <v>50</v>
      </c>
      <c r="J111" s="37"/>
      <c r="M111" t="s">
        <v>694</v>
      </c>
      <c r="N111">
        <v>1953492</v>
      </c>
      <c r="O111">
        <f>N111*1.12</f>
        <v>2187911.04</v>
      </c>
    </row>
    <row r="112" spans="1:18" x14ac:dyDescent="0.25">
      <c r="A112" s="40" t="s">
        <v>269</v>
      </c>
      <c r="B112" s="37">
        <v>1380</v>
      </c>
      <c r="C112" s="37"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37"/>
      <c r="M112" t="s">
        <v>695</v>
      </c>
      <c r="N112">
        <v>1658730</v>
      </c>
      <c r="O112">
        <f>N112*1.12</f>
        <v>1857777.6</v>
      </c>
    </row>
    <row r="113" spans="1:15" ht="26.25" x14ac:dyDescent="0.25">
      <c r="A113" s="44" t="s">
        <v>68</v>
      </c>
      <c r="B113" s="37">
        <v>1390</v>
      </c>
      <c r="C113" s="37">
        <v>0</v>
      </c>
      <c r="D113" s="40">
        <v>12</v>
      </c>
      <c r="E113" s="40">
        <v>0</v>
      </c>
      <c r="F113" s="40">
        <f>E113/4</f>
        <v>0</v>
      </c>
      <c r="G113" s="40">
        <f>E113/4</f>
        <v>0</v>
      </c>
      <c r="H113" s="40">
        <f>G113</f>
        <v>0</v>
      </c>
      <c r="I113" s="40">
        <f>G113</f>
        <v>0</v>
      </c>
      <c r="J113" s="37"/>
      <c r="M113" s="369"/>
      <c r="N113" s="371">
        <f>N110+N111+N112</f>
        <v>62907508.479999997</v>
      </c>
      <c r="O113" t="s">
        <v>696</v>
      </c>
    </row>
    <row r="114" spans="1:15" x14ac:dyDescent="0.25">
      <c r="A114" s="44" t="s">
        <v>43</v>
      </c>
      <c r="B114" s="37">
        <v>1400</v>
      </c>
      <c r="C114" s="37">
        <v>0</v>
      </c>
      <c r="D114" s="40">
        <v>28</v>
      </c>
      <c r="E114" s="40">
        <v>0</v>
      </c>
      <c r="F114" s="40">
        <f>E114/4</f>
        <v>0</v>
      </c>
      <c r="G114" s="40">
        <f>F114</f>
        <v>0</v>
      </c>
      <c r="H114" s="40">
        <f>G114</f>
        <v>0</v>
      </c>
      <c r="I114" s="40">
        <f>H114</f>
        <v>0</v>
      </c>
      <c r="J114" s="37"/>
      <c r="N114">
        <f>N113*1.12</f>
        <v>70456409.497600004</v>
      </c>
      <c r="O114" t="s">
        <v>700</v>
      </c>
    </row>
    <row r="115" spans="1:15" ht="26.25" x14ac:dyDescent="0.25">
      <c r="A115" s="44" t="s">
        <v>69</v>
      </c>
      <c r="B115" s="37">
        <v>1410</v>
      </c>
      <c r="C115" s="37">
        <v>64.02</v>
      </c>
      <c r="D115" s="40">
        <v>75.709999999999994</v>
      </c>
      <c r="E115" s="324">
        <v>91.296000000000006</v>
      </c>
      <c r="F115" s="40">
        <f>E115/4</f>
        <v>22.824000000000002</v>
      </c>
      <c r="G115" s="40">
        <f>F115</f>
        <v>22.824000000000002</v>
      </c>
      <c r="H115" s="40">
        <f>G115</f>
        <v>22.824000000000002</v>
      </c>
      <c r="I115" s="40">
        <f>H115</f>
        <v>22.824000000000002</v>
      </c>
      <c r="J115" s="37"/>
      <c r="M115" t="s">
        <v>697</v>
      </c>
      <c r="O115">
        <f>O102+O103+O104+O105+O106+O107+O108+O109+O111+O112</f>
        <v>70456409.497600004</v>
      </c>
    </row>
    <row r="116" spans="1:15" ht="14.25" customHeight="1" x14ac:dyDescent="0.25">
      <c r="A116" s="40" t="s">
        <v>70</v>
      </c>
      <c r="B116" s="37">
        <v>1420</v>
      </c>
      <c r="C116" s="37">
        <v>0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37"/>
      <c r="M116" t="s">
        <v>698</v>
      </c>
      <c r="N116">
        <v>40071378.390000001</v>
      </c>
      <c r="O116">
        <f>N116/12</f>
        <v>3339281.5325000002</v>
      </c>
    </row>
    <row r="117" spans="1:15" ht="26.25" x14ac:dyDescent="0.25">
      <c r="A117" s="49" t="s">
        <v>410</v>
      </c>
      <c r="B117" s="37">
        <v>1430</v>
      </c>
      <c r="C117" s="37">
        <v>0</v>
      </c>
      <c r="D117" s="40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37"/>
    </row>
    <row r="118" spans="1:15" x14ac:dyDescent="0.25">
      <c r="A118" s="40" t="s">
        <v>71</v>
      </c>
      <c r="B118" s="37">
        <v>1440</v>
      </c>
      <c r="C118" s="37">
        <f>82.22+29.28+3</f>
        <v>114.5</v>
      </c>
      <c r="D118" s="40">
        <v>0</v>
      </c>
      <c r="E118" s="324">
        <v>0</v>
      </c>
      <c r="F118" s="346">
        <v>0</v>
      </c>
      <c r="G118" s="346">
        <v>0</v>
      </c>
      <c r="H118" s="346">
        <v>0</v>
      </c>
      <c r="I118" s="346">
        <f>H118</f>
        <v>0</v>
      </c>
      <c r="J118" s="37"/>
    </row>
    <row r="119" spans="1:15" x14ac:dyDescent="0.25">
      <c r="A119" s="40" t="s">
        <v>31</v>
      </c>
      <c r="B119" s="39" t="s">
        <v>371</v>
      </c>
      <c r="C119" s="39">
        <v>0</v>
      </c>
      <c r="D119" s="40">
        <v>0</v>
      </c>
      <c r="E119" s="40">
        <v>0</v>
      </c>
      <c r="F119" s="40"/>
      <c r="G119" s="40"/>
      <c r="H119" s="40"/>
      <c r="I119" s="40"/>
      <c r="J119" s="37"/>
    </row>
    <row r="120" spans="1:15" x14ac:dyDescent="0.25">
      <c r="A120" s="40" t="s">
        <v>55</v>
      </c>
      <c r="B120" s="37">
        <v>1450</v>
      </c>
      <c r="C120" s="37">
        <v>111.05</v>
      </c>
      <c r="D120" s="40">
        <v>98.4</v>
      </c>
      <c r="E120" s="40">
        <v>205.10499999999999</v>
      </c>
      <c r="F120" s="40">
        <f>E120/4</f>
        <v>51.276249999999997</v>
      </c>
      <c r="G120" s="40">
        <f>F120</f>
        <v>51.276249999999997</v>
      </c>
      <c r="H120" s="40">
        <f>G120</f>
        <v>51.276249999999997</v>
      </c>
      <c r="I120" s="40">
        <f>H120</f>
        <v>51.276249999999997</v>
      </c>
      <c r="J120" s="37"/>
    </row>
    <row r="121" spans="1:15" ht="51" x14ac:dyDescent="0.25">
      <c r="A121" s="40" t="s">
        <v>72</v>
      </c>
      <c r="B121" s="37">
        <v>1460</v>
      </c>
      <c r="C121" s="321">
        <v>60.8</v>
      </c>
      <c r="D121" s="40">
        <v>62</v>
      </c>
      <c r="E121" s="40">
        <f>36.4</f>
        <v>36.4</v>
      </c>
      <c r="F121" s="40">
        <f>E121/4</f>
        <v>9.1</v>
      </c>
      <c r="G121" s="40">
        <f>F121</f>
        <v>9.1</v>
      </c>
      <c r="H121" s="40">
        <f>F121</f>
        <v>9.1</v>
      </c>
      <c r="I121" s="40">
        <f>H121</f>
        <v>9.1</v>
      </c>
      <c r="J121" s="50" t="s">
        <v>273</v>
      </c>
    </row>
    <row r="122" spans="1:15" x14ac:dyDescent="0.25">
      <c r="A122" s="40"/>
      <c r="B122" s="39" t="s">
        <v>270</v>
      </c>
      <c r="C122" s="39"/>
      <c r="D122" s="40"/>
      <c r="E122" s="40"/>
      <c r="F122" s="40"/>
      <c r="G122" s="324"/>
      <c r="H122" s="40"/>
      <c r="I122" s="40"/>
      <c r="J122" s="37"/>
    </row>
    <row r="123" spans="1:15" x14ac:dyDescent="0.25">
      <c r="A123" s="51" t="s">
        <v>73</v>
      </c>
      <c r="B123" s="48">
        <v>1500</v>
      </c>
      <c r="C123" s="48">
        <v>1660.34</v>
      </c>
      <c r="D123" s="40">
        <v>2522.0700000000002</v>
      </c>
      <c r="E123" s="324">
        <f>E124+E125+E126+E127+E128</f>
        <v>3117.0486720000004</v>
      </c>
      <c r="F123" s="324">
        <f>F124+F125+F126+F127+F128</f>
        <v>779.26216800000009</v>
      </c>
      <c r="G123" s="324">
        <f>G124+G125+G126+G127+G128</f>
        <v>779.26216800000009</v>
      </c>
      <c r="H123" s="324">
        <f>H124+H125+H126+H127+H128</f>
        <v>779.26216800000009</v>
      </c>
      <c r="I123" s="324">
        <f>I124+I125+I126+I127+I128</f>
        <v>779.26216800000009</v>
      </c>
      <c r="J123" s="45" t="s">
        <v>74</v>
      </c>
    </row>
    <row r="124" spans="1:15" x14ac:dyDescent="0.25">
      <c r="A124" s="44" t="s">
        <v>75</v>
      </c>
      <c r="B124" s="37">
        <v>1510</v>
      </c>
      <c r="C124" s="37">
        <f>3.2+0.42</f>
        <v>3.62</v>
      </c>
      <c r="D124" s="40">
        <v>25.52</v>
      </c>
      <c r="E124" s="40">
        <v>29.88</v>
      </c>
      <c r="F124" s="40">
        <f>E124/4</f>
        <v>7.47</v>
      </c>
      <c r="G124" s="40">
        <f>E124/4</f>
        <v>7.47</v>
      </c>
      <c r="H124" s="40">
        <f>E124/4</f>
        <v>7.47</v>
      </c>
      <c r="I124" s="40">
        <f>H124</f>
        <v>7.47</v>
      </c>
      <c r="J124" s="37"/>
    </row>
    <row r="125" spans="1:15" x14ac:dyDescent="0.25">
      <c r="A125" s="44" t="s">
        <v>51</v>
      </c>
      <c r="B125" s="37">
        <v>1520</v>
      </c>
      <c r="C125" s="37">
        <v>820.6</v>
      </c>
      <c r="D125" s="40">
        <v>1441.52</v>
      </c>
      <c r="E125" s="40">
        <f>O112/1000</f>
        <v>1857.7776000000001</v>
      </c>
      <c r="F125" s="40">
        <f>E125/4</f>
        <v>464.44440000000003</v>
      </c>
      <c r="G125" s="324">
        <f>F125</f>
        <v>464.44440000000003</v>
      </c>
      <c r="H125" s="40">
        <f>E125/4</f>
        <v>464.44440000000003</v>
      </c>
      <c r="I125" s="40">
        <f>H125</f>
        <v>464.44440000000003</v>
      </c>
      <c r="J125" s="37"/>
      <c r="M125">
        <f>1226.16*1.12</f>
        <v>1373.2992000000002</v>
      </c>
    </row>
    <row r="126" spans="1:15" x14ac:dyDescent="0.25">
      <c r="A126" s="44" t="s">
        <v>52</v>
      </c>
      <c r="B126" s="37">
        <v>1530</v>
      </c>
      <c r="C126" s="37">
        <v>181.05</v>
      </c>
      <c r="D126" s="324">
        <f>D125*0.22</f>
        <v>317.13439999999997</v>
      </c>
      <c r="E126" s="324">
        <f>E125*0.22</f>
        <v>408.711072</v>
      </c>
      <c r="F126" s="324">
        <f>E126/4</f>
        <v>102.177768</v>
      </c>
      <c r="G126" s="324">
        <f t="shared" ref="G126:H128" si="6">F126</f>
        <v>102.177768</v>
      </c>
      <c r="H126" s="324">
        <f t="shared" si="6"/>
        <v>102.177768</v>
      </c>
      <c r="I126" s="324">
        <f>H126</f>
        <v>102.177768</v>
      </c>
      <c r="J126" s="37"/>
    </row>
    <row r="127" spans="1:15" x14ac:dyDescent="0.25">
      <c r="A127" s="44" t="s">
        <v>55</v>
      </c>
      <c r="B127" s="37">
        <v>1540</v>
      </c>
      <c r="C127" s="37">
        <v>2.4</v>
      </c>
      <c r="D127" s="40">
        <v>2.4</v>
      </c>
      <c r="E127" s="40">
        <v>4.8</v>
      </c>
      <c r="F127" s="40">
        <f>E127/4</f>
        <v>1.2</v>
      </c>
      <c r="G127" s="40">
        <f t="shared" si="6"/>
        <v>1.2</v>
      </c>
      <c r="H127" s="40">
        <f t="shared" si="6"/>
        <v>1.2</v>
      </c>
      <c r="I127" s="40">
        <f>H127</f>
        <v>1.2</v>
      </c>
      <c r="J127" s="37"/>
    </row>
    <row r="128" spans="1:15" ht="39" x14ac:dyDescent="0.25">
      <c r="A128" s="44" t="s">
        <v>448</v>
      </c>
      <c r="B128" s="37">
        <v>1550</v>
      </c>
      <c r="C128" s="37">
        <v>652.66</v>
      </c>
      <c r="D128" s="322">
        <f>D123-D124-D125-D126-D127</f>
        <v>735.49560000000031</v>
      </c>
      <c r="E128" s="324">
        <f>740+75.88</f>
        <v>815.88</v>
      </c>
      <c r="F128" s="40">
        <f>E128/4</f>
        <v>203.97</v>
      </c>
      <c r="G128" s="40">
        <f t="shared" si="6"/>
        <v>203.97</v>
      </c>
      <c r="H128" s="40">
        <f t="shared" si="6"/>
        <v>203.97</v>
      </c>
      <c r="I128" s="40">
        <f>H128</f>
        <v>203.97</v>
      </c>
      <c r="J128" s="37" t="s">
        <v>77</v>
      </c>
    </row>
    <row r="129" spans="1:19" x14ac:dyDescent="0.25">
      <c r="A129" s="44" t="s">
        <v>631</v>
      </c>
      <c r="B129" s="52">
        <v>1551</v>
      </c>
      <c r="C129" s="52">
        <f>C128</f>
        <v>652.66</v>
      </c>
      <c r="D129" s="44">
        <v>735.5</v>
      </c>
      <c r="E129" s="326">
        <f>E128</f>
        <v>815.88</v>
      </c>
      <c r="F129" s="44">
        <f>F128</f>
        <v>203.97</v>
      </c>
      <c r="G129" s="44">
        <f>G128</f>
        <v>203.97</v>
      </c>
      <c r="H129" s="44">
        <f>H128</f>
        <v>203.97</v>
      </c>
      <c r="I129" s="44">
        <f>I128</f>
        <v>203.97</v>
      </c>
      <c r="J129" s="44"/>
    </row>
    <row r="130" spans="1:19" ht="25.5" x14ac:dyDescent="0.25">
      <c r="A130" s="24" t="s">
        <v>449</v>
      </c>
      <c r="B130" s="53">
        <v>1600</v>
      </c>
      <c r="C130" s="53">
        <v>33781</v>
      </c>
      <c r="D130" s="44">
        <v>33781</v>
      </c>
      <c r="E130" s="326">
        <v>33781</v>
      </c>
      <c r="F130" s="44">
        <f>E130/4</f>
        <v>8445.25</v>
      </c>
      <c r="G130" s="44">
        <f>F130</f>
        <v>8445.25</v>
      </c>
      <c r="H130" s="44">
        <f>G130</f>
        <v>8445.25</v>
      </c>
      <c r="I130" s="44">
        <f>H130</f>
        <v>8445.25</v>
      </c>
      <c r="J130" s="44"/>
    </row>
    <row r="131" spans="1:19" ht="25.5" x14ac:dyDescent="0.25">
      <c r="A131" s="24" t="s">
        <v>78</v>
      </c>
      <c r="B131" s="53">
        <v>1700</v>
      </c>
      <c r="C131" s="53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/>
    </row>
    <row r="132" spans="1:19" x14ac:dyDescent="0.25">
      <c r="A132" s="392" t="s">
        <v>79</v>
      </c>
      <c r="B132" s="393"/>
      <c r="C132" s="393"/>
      <c r="D132" s="393"/>
      <c r="E132" s="393"/>
      <c r="F132" s="393"/>
      <c r="G132" s="393"/>
      <c r="H132" s="393"/>
      <c r="I132" s="393"/>
      <c r="J132" s="394"/>
      <c r="M132" s="369">
        <f>E125+E106+E89</f>
        <v>70456.407257600004</v>
      </c>
    </row>
    <row r="133" spans="1:19" x14ac:dyDescent="0.25">
      <c r="A133" s="44" t="s">
        <v>51</v>
      </c>
      <c r="B133" s="45">
        <v>2000</v>
      </c>
      <c r="C133" s="45">
        <v>38885</v>
      </c>
      <c r="D133" s="44">
        <v>68346.635999999999</v>
      </c>
      <c r="E133" s="326">
        <f>N114/1000</f>
        <v>70456.409497600005</v>
      </c>
      <c r="F133" s="326">
        <f>O137</f>
        <v>18789.552177123107</v>
      </c>
      <c r="G133" s="326">
        <f>P137</f>
        <v>16724.523486153499</v>
      </c>
      <c r="H133" s="326">
        <f>Q137</f>
        <v>17239.01151106348</v>
      </c>
      <c r="I133" s="326">
        <f>R137</f>
        <v>17703.322000793876</v>
      </c>
      <c r="J133" s="145" t="s">
        <v>430</v>
      </c>
      <c r="K133" s="376">
        <f>F133+G133+H133+I133</f>
        <v>70456.409175133958</v>
      </c>
      <c r="L133">
        <v>68346.635999999999</v>
      </c>
      <c r="N133">
        <f>G133*100/L133</f>
        <v>24.470148737318251</v>
      </c>
      <c r="O133" s="374">
        <f>17826.912</f>
        <v>17826.912</v>
      </c>
      <c r="P133" s="374">
        <v>16223.718000000001</v>
      </c>
      <c r="Q133" s="374">
        <v>16722.8</v>
      </c>
      <c r="R133" s="374">
        <v>17173.206999999999</v>
      </c>
    </row>
    <row r="134" spans="1:19" x14ac:dyDescent="0.25">
      <c r="A134" s="109" t="s">
        <v>81</v>
      </c>
      <c r="B134" s="152">
        <v>2001</v>
      </c>
      <c r="C134" s="152">
        <v>14083.65</v>
      </c>
      <c r="D134" s="44">
        <v>21307</v>
      </c>
      <c r="E134" s="326">
        <f>N107/1000</f>
        <v>25546.052699999997</v>
      </c>
      <c r="F134" s="326">
        <f>E134/4</f>
        <v>6386.5131749999991</v>
      </c>
      <c r="G134" s="326">
        <f>F134</f>
        <v>6386.5131749999991</v>
      </c>
      <c r="H134" s="326">
        <f>G134</f>
        <v>6386.5131749999991</v>
      </c>
      <c r="I134" s="326">
        <f>H134</f>
        <v>6386.5131749999991</v>
      </c>
      <c r="J134" s="45"/>
      <c r="M134">
        <f>8412782.07+1907682.5+1816800.49+1363384.15+7001609.32+7398155.86+16900000+5848819.39+1953492+1658730</f>
        <v>54261455.780000001</v>
      </c>
      <c r="O134">
        <f>O133*100/L133+0.58525</f>
        <v>26.668336225341069</v>
      </c>
      <c r="P134">
        <f>P133*100/L133</f>
        <v>23.73740530550765</v>
      </c>
      <c r="Q134">
        <f>Q133*100/L133</f>
        <v>24.467627053363682</v>
      </c>
      <c r="R134">
        <f>R133*100/L133</f>
        <v>25.12663095810597</v>
      </c>
      <c r="S134">
        <f>O134+P134+Q134+R134</f>
        <v>99.999999542318363</v>
      </c>
    </row>
    <row r="135" spans="1:19" x14ac:dyDescent="0.25">
      <c r="A135" s="44" t="s">
        <v>52</v>
      </c>
      <c r="B135" s="45">
        <v>2010</v>
      </c>
      <c r="C135" s="45">
        <v>8416</v>
      </c>
      <c r="D135" s="326">
        <v>15036.26</v>
      </c>
      <c r="E135" s="326">
        <f>E133*0.22</f>
        <v>15500.410089472001</v>
      </c>
      <c r="F135" s="329">
        <f>F133*0.22</f>
        <v>4133.7014789670839</v>
      </c>
      <c r="G135" s="44">
        <f>G133*0.22</f>
        <v>3679.3951669537696</v>
      </c>
      <c r="H135" s="329">
        <f>H133*0.22</f>
        <v>3792.5825324339658</v>
      </c>
      <c r="I135" s="329">
        <f>I133*0.22</f>
        <v>3894.7308401746527</v>
      </c>
      <c r="J135" s="145" t="s">
        <v>431</v>
      </c>
      <c r="M135">
        <f>M134*1.12</f>
        <v>60772830.473600008</v>
      </c>
    </row>
    <row r="136" spans="1:19" x14ac:dyDescent="0.25">
      <c r="A136" s="109" t="s">
        <v>81</v>
      </c>
      <c r="B136" s="153">
        <v>2011</v>
      </c>
      <c r="C136" s="153">
        <v>2791.81</v>
      </c>
      <c r="D136" s="161">
        <v>4687.54</v>
      </c>
      <c r="E136" s="330">
        <f>E134*0.22</f>
        <v>5620.1315939999995</v>
      </c>
      <c r="F136" s="330">
        <f>F134*0.22</f>
        <v>1405.0328984999999</v>
      </c>
      <c r="G136" s="330">
        <f>F136</f>
        <v>1405.0328984999999</v>
      </c>
      <c r="H136" s="330">
        <f>G136</f>
        <v>1405.0328984999999</v>
      </c>
      <c r="I136" s="330">
        <f>H136</f>
        <v>1405.0328984999999</v>
      </c>
      <c r="J136" s="45"/>
    </row>
    <row r="137" spans="1:19" x14ac:dyDescent="0.25">
      <c r="A137" s="44" t="s">
        <v>75</v>
      </c>
      <c r="B137" s="154">
        <v>2020</v>
      </c>
      <c r="C137" s="154">
        <v>8081</v>
      </c>
      <c r="D137" s="161">
        <f>D74+D100+D124</f>
        <v>948.02999999999986</v>
      </c>
      <c r="E137" s="330">
        <f>E74+E100+E124</f>
        <v>15738.935999999998</v>
      </c>
      <c r="F137" s="335">
        <f>F124+F99+F84+F83+F80+F79+F78+F77+F75+F138</f>
        <v>19842.134603000002</v>
      </c>
      <c r="G137" s="335">
        <f>G124+G99+G84+G83+G80+G79+G78+G77+G75+G138</f>
        <v>5905.357</v>
      </c>
      <c r="H137" s="335">
        <f>H124+H99+H84+H83+H80+H79+H78+H77+H75+H138</f>
        <v>5904.9769999999999</v>
      </c>
      <c r="I137" s="335">
        <f>I124+I99+I84+I83+I80+I79+I78+I77+I75+I138</f>
        <v>15665.267397000003</v>
      </c>
      <c r="J137" s="145" t="s">
        <v>432</v>
      </c>
      <c r="N137">
        <f>E133</f>
        <v>70456.409497600005</v>
      </c>
      <c r="O137">
        <f>N137*O134/100</f>
        <v>18789.552177123107</v>
      </c>
      <c r="P137">
        <f>N137*P134/100</f>
        <v>16724.523486153499</v>
      </c>
      <c r="Q137">
        <f>N137*Q134/100</f>
        <v>17239.01151106348</v>
      </c>
      <c r="R137">
        <f>N137*R134/100</f>
        <v>17703.322000793876</v>
      </c>
      <c r="S137">
        <f>O137+P137+Q137+R137</f>
        <v>70456.409175133958</v>
      </c>
    </row>
    <row r="138" spans="1:19" x14ac:dyDescent="0.25">
      <c r="A138" s="109" t="s">
        <v>81</v>
      </c>
      <c r="B138" s="153">
        <v>2021</v>
      </c>
      <c r="C138" s="153">
        <v>6800.51</v>
      </c>
      <c r="D138" s="161">
        <v>9326</v>
      </c>
      <c r="E138" s="366">
        <v>11000</v>
      </c>
      <c r="F138" s="330">
        <f>E138/4</f>
        <v>2750</v>
      </c>
      <c r="G138" s="330">
        <f>F138</f>
        <v>2750</v>
      </c>
      <c r="H138" s="330">
        <f>G138</f>
        <v>2750</v>
      </c>
      <c r="I138" s="330">
        <f>H138</f>
        <v>2750</v>
      </c>
      <c r="J138" s="45"/>
    </row>
    <row r="139" spans="1:19" ht="26.25" x14ac:dyDescent="0.25">
      <c r="A139" s="44" t="s">
        <v>69</v>
      </c>
      <c r="B139" s="154">
        <v>2030</v>
      </c>
      <c r="C139" s="154">
        <v>29549.35</v>
      </c>
      <c r="D139" s="161">
        <f t="shared" ref="D139:I139" si="7">D81+D115</f>
        <v>37277.440000000002</v>
      </c>
      <c r="E139" s="330">
        <f t="shared" si="7"/>
        <v>32953.616000000002</v>
      </c>
      <c r="F139" s="331">
        <f t="shared" si="7"/>
        <v>16350.532603000001</v>
      </c>
      <c r="G139" s="331">
        <f t="shared" si="7"/>
        <v>681.42399999999998</v>
      </c>
      <c r="H139" s="331">
        <f t="shared" si="7"/>
        <v>4101.1740000000009</v>
      </c>
      <c r="I139" s="331">
        <f t="shared" si="7"/>
        <v>11820.485397000002</v>
      </c>
      <c r="J139" s="145" t="s">
        <v>433</v>
      </c>
      <c r="K139" s="284"/>
      <c r="L139" s="284">
        <f>F139+G139+H139+I139</f>
        <v>32953.616000000009</v>
      </c>
    </row>
    <row r="140" spans="1:19" x14ac:dyDescent="0.25">
      <c r="A140" s="109" t="s">
        <v>81</v>
      </c>
      <c r="B140" s="153">
        <v>2031</v>
      </c>
      <c r="C140" s="153">
        <f>928+1099.9+1003.7</f>
        <v>3031.6000000000004</v>
      </c>
      <c r="D140" s="161">
        <v>0</v>
      </c>
      <c r="E140" s="161">
        <v>0</v>
      </c>
      <c r="F140" s="161"/>
      <c r="G140" s="161"/>
      <c r="H140" s="161"/>
      <c r="I140" s="161"/>
      <c r="J140" s="45"/>
    </row>
    <row r="141" spans="1:19" x14ac:dyDescent="0.25">
      <c r="A141" s="44" t="s">
        <v>55</v>
      </c>
      <c r="B141" s="154">
        <v>2040</v>
      </c>
      <c r="C141" s="154">
        <v>23193</v>
      </c>
      <c r="D141" s="161">
        <f>D95+D120+D127</f>
        <v>26031.7</v>
      </c>
      <c r="E141" s="161">
        <f>E127+E120+E95</f>
        <v>23402.904999999999</v>
      </c>
      <c r="F141" s="161">
        <f>E141/4</f>
        <v>5850.7262499999997</v>
      </c>
      <c r="G141" s="161">
        <f>F141</f>
        <v>5850.7262499999997</v>
      </c>
      <c r="H141" s="161">
        <f>G141</f>
        <v>5850.7262499999997</v>
      </c>
      <c r="I141" s="161">
        <f>H141</f>
        <v>5850.7262499999997</v>
      </c>
      <c r="J141" s="145" t="s">
        <v>434</v>
      </c>
      <c r="L141">
        <f>I141+H141+G141+F141</f>
        <v>23402.904999999999</v>
      </c>
    </row>
    <row r="142" spans="1:19" ht="26.25" x14ac:dyDescent="0.25">
      <c r="A142" s="44" t="s">
        <v>82</v>
      </c>
      <c r="B142" s="154">
        <v>2050</v>
      </c>
      <c r="C142" s="154">
        <v>4231.6499999999996</v>
      </c>
      <c r="D142" s="330">
        <f>D96+D121+D128+D130+D131</f>
        <v>34709.215600000003</v>
      </c>
      <c r="E142" s="330">
        <f>E96+E121+E128+E130+E131</f>
        <v>34764</v>
      </c>
      <c r="F142" s="161">
        <f>E142/4</f>
        <v>8691</v>
      </c>
      <c r="G142" s="161">
        <f>E142/4</f>
        <v>8691</v>
      </c>
      <c r="H142" s="161">
        <f>E142/4</f>
        <v>8691</v>
      </c>
      <c r="I142" s="161">
        <f>E142/4</f>
        <v>8691</v>
      </c>
      <c r="J142" s="145" t="s">
        <v>435</v>
      </c>
      <c r="L142">
        <f>I142+H142+G142+F142</f>
        <v>34764</v>
      </c>
    </row>
    <row r="143" spans="1:19" x14ac:dyDescent="0.25">
      <c r="A143" s="109" t="s">
        <v>81</v>
      </c>
      <c r="B143" s="153">
        <v>2051</v>
      </c>
      <c r="C143" s="153"/>
      <c r="D143" s="161"/>
      <c r="E143" s="161"/>
      <c r="F143" s="161"/>
      <c r="G143" s="161"/>
      <c r="H143" s="161"/>
      <c r="I143" s="161"/>
      <c r="J143" s="45"/>
    </row>
    <row r="144" spans="1:19" ht="26.25" x14ac:dyDescent="0.25">
      <c r="A144" s="51" t="s">
        <v>83</v>
      </c>
      <c r="B144" s="162">
        <v>2060</v>
      </c>
      <c r="C144" s="347">
        <f t="shared" ref="C144:I144" si="8">C133+C135+C137+C139+C141+C142</f>
        <v>112356</v>
      </c>
      <c r="D144" s="348">
        <f t="shared" si="8"/>
        <v>182349.28159999999</v>
      </c>
      <c r="E144" s="330">
        <f t="shared" si="8"/>
        <v>192816.276587072</v>
      </c>
      <c r="F144" s="330">
        <f t="shared" si="8"/>
        <v>73657.647112090199</v>
      </c>
      <c r="G144" s="330">
        <f t="shared" si="8"/>
        <v>41532.425903107272</v>
      </c>
      <c r="H144" s="330">
        <f t="shared" si="8"/>
        <v>45579.471293497445</v>
      </c>
      <c r="I144" s="330">
        <f t="shared" si="8"/>
        <v>63625.531884968535</v>
      </c>
      <c r="J144" s="45"/>
    </row>
    <row r="145" spans="1:10" x14ac:dyDescent="0.25">
      <c r="A145" s="380" t="s">
        <v>84</v>
      </c>
      <c r="B145" s="381"/>
      <c r="C145" s="381"/>
      <c r="D145" s="381"/>
      <c r="E145" s="381"/>
      <c r="F145" s="381"/>
      <c r="G145" s="381"/>
      <c r="H145" s="381"/>
      <c r="I145" s="381"/>
      <c r="J145" s="382"/>
    </row>
    <row r="146" spans="1:10" ht="20.25" customHeight="1" x14ac:dyDescent="0.25">
      <c r="A146" s="147" t="s">
        <v>85</v>
      </c>
      <c r="B146" s="162">
        <v>3000</v>
      </c>
      <c r="C146" s="162">
        <v>0</v>
      </c>
      <c r="D146" s="161">
        <v>0</v>
      </c>
      <c r="E146" s="161">
        <v>0</v>
      </c>
      <c r="F146" s="161">
        <v>0</v>
      </c>
      <c r="G146" s="161">
        <v>0</v>
      </c>
      <c r="H146" s="161">
        <v>0</v>
      </c>
      <c r="I146" s="161"/>
      <c r="J146" s="45" t="s">
        <v>86</v>
      </c>
    </row>
    <row r="147" spans="1:10" ht="25.5" x14ac:dyDescent="0.25">
      <c r="A147" s="108" t="s">
        <v>87</v>
      </c>
      <c r="B147" s="153">
        <v>3001</v>
      </c>
      <c r="C147" s="153">
        <v>0</v>
      </c>
      <c r="D147" s="161">
        <v>0</v>
      </c>
      <c r="E147" s="161">
        <v>0</v>
      </c>
      <c r="F147" s="161">
        <v>0</v>
      </c>
      <c r="G147" s="161">
        <v>0</v>
      </c>
      <c r="H147" s="161">
        <v>0</v>
      </c>
      <c r="I147" s="161">
        <v>0</v>
      </c>
      <c r="J147" s="45"/>
    </row>
    <row r="148" spans="1:10" ht="25.5" x14ac:dyDescent="0.25">
      <c r="A148" s="108" t="s">
        <v>88</v>
      </c>
      <c r="B148" s="153">
        <v>3002</v>
      </c>
      <c r="C148" s="153">
        <v>0</v>
      </c>
      <c r="D148" s="161">
        <v>0</v>
      </c>
      <c r="E148" s="161">
        <v>0</v>
      </c>
      <c r="F148" s="161">
        <v>0</v>
      </c>
      <c r="G148" s="161">
        <v>0</v>
      </c>
      <c r="H148" s="161">
        <v>0</v>
      </c>
      <c r="I148" s="161">
        <v>0</v>
      </c>
      <c r="J148" s="45"/>
    </row>
    <row r="149" spans="1:10" ht="26.25" x14ac:dyDescent="0.25">
      <c r="A149" s="147" t="s">
        <v>89</v>
      </c>
      <c r="B149" s="162">
        <v>3100</v>
      </c>
      <c r="C149" s="162">
        <v>0</v>
      </c>
      <c r="D149" s="161">
        <v>0</v>
      </c>
      <c r="E149" s="161">
        <v>0</v>
      </c>
      <c r="F149" s="161">
        <v>0</v>
      </c>
      <c r="G149" s="161">
        <v>0</v>
      </c>
      <c r="H149" s="161">
        <v>0</v>
      </c>
      <c r="I149" s="161">
        <v>0</v>
      </c>
      <c r="J149" s="45" t="s">
        <v>90</v>
      </c>
    </row>
    <row r="150" spans="1:10" x14ac:dyDescent="0.25">
      <c r="A150" s="46" t="s">
        <v>91</v>
      </c>
      <c r="B150" s="45">
        <v>3110</v>
      </c>
      <c r="C150" s="45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5"/>
    </row>
    <row r="151" spans="1:10" x14ac:dyDescent="0.25">
      <c r="A151" s="109" t="s">
        <v>81</v>
      </c>
      <c r="B151" s="152">
        <v>3111</v>
      </c>
      <c r="C151" s="152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5"/>
    </row>
    <row r="152" spans="1:10" ht="25.5" x14ac:dyDescent="0.25">
      <c r="A152" s="46" t="s">
        <v>92</v>
      </c>
      <c r="B152" s="45">
        <v>3120</v>
      </c>
      <c r="C152" s="45">
        <v>0</v>
      </c>
      <c r="D152" s="44">
        <v>0</v>
      </c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J152" s="45"/>
    </row>
    <row r="153" spans="1:10" x14ac:dyDescent="0.25">
      <c r="A153" s="109" t="s">
        <v>81</v>
      </c>
      <c r="B153" s="152">
        <v>3121</v>
      </c>
      <c r="C153" s="152">
        <v>0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0</v>
      </c>
      <c r="J153" s="45"/>
    </row>
    <row r="154" spans="1:10" ht="25.5" x14ac:dyDescent="0.25">
      <c r="A154" s="46" t="s">
        <v>93</v>
      </c>
      <c r="B154" s="45">
        <v>3130</v>
      </c>
      <c r="C154" s="45">
        <v>0</v>
      </c>
      <c r="D154" s="163">
        <v>0</v>
      </c>
      <c r="E154" s="163">
        <v>0</v>
      </c>
      <c r="F154" s="163">
        <v>0</v>
      </c>
      <c r="G154" s="163">
        <v>0</v>
      </c>
      <c r="H154" s="163">
        <v>0</v>
      </c>
      <c r="I154" s="163">
        <v>0</v>
      </c>
      <c r="J154" s="45"/>
    </row>
    <row r="155" spans="1:10" x14ac:dyDescent="0.25">
      <c r="A155" s="109" t="s">
        <v>81</v>
      </c>
      <c r="B155" s="152">
        <v>3131</v>
      </c>
      <c r="C155" s="152">
        <v>0</v>
      </c>
      <c r="D155" s="163">
        <v>0</v>
      </c>
      <c r="E155" s="163">
        <v>0</v>
      </c>
      <c r="F155" s="163">
        <v>0</v>
      </c>
      <c r="G155" s="163">
        <v>0</v>
      </c>
      <c r="H155" s="163">
        <v>0</v>
      </c>
      <c r="I155" s="163">
        <v>0</v>
      </c>
      <c r="J155" s="45"/>
    </row>
    <row r="156" spans="1:10" ht="25.5" x14ac:dyDescent="0.25">
      <c r="A156" s="46" t="s">
        <v>94</v>
      </c>
      <c r="B156" s="45">
        <v>3140</v>
      </c>
      <c r="C156" s="45">
        <v>0</v>
      </c>
      <c r="D156" s="163">
        <v>0</v>
      </c>
      <c r="E156" s="163">
        <v>0</v>
      </c>
      <c r="F156" s="163">
        <v>0</v>
      </c>
      <c r="G156" s="163">
        <v>0</v>
      </c>
      <c r="H156" s="163">
        <v>0</v>
      </c>
      <c r="I156" s="163">
        <v>0</v>
      </c>
      <c r="J156" s="45"/>
    </row>
    <row r="157" spans="1:10" x14ac:dyDescent="0.25">
      <c r="A157" s="109" t="s">
        <v>81</v>
      </c>
      <c r="B157" s="152">
        <v>3141</v>
      </c>
      <c r="C157" s="152">
        <v>0</v>
      </c>
      <c r="D157" s="163">
        <v>0</v>
      </c>
      <c r="E157" s="163">
        <v>0</v>
      </c>
      <c r="F157" s="163">
        <v>0</v>
      </c>
      <c r="G157" s="163">
        <v>0</v>
      </c>
      <c r="H157" s="163">
        <v>0</v>
      </c>
      <c r="I157" s="163">
        <v>0</v>
      </c>
      <c r="J157" s="45"/>
    </row>
    <row r="158" spans="1:10" ht="38.25" x14ac:dyDescent="0.25">
      <c r="A158" s="46" t="s">
        <v>95</v>
      </c>
      <c r="B158" s="45">
        <v>3150</v>
      </c>
      <c r="C158" s="45">
        <v>0</v>
      </c>
      <c r="D158" s="163">
        <v>0</v>
      </c>
      <c r="E158" s="163">
        <v>0</v>
      </c>
      <c r="F158" s="163">
        <v>0</v>
      </c>
      <c r="G158" s="163">
        <v>0</v>
      </c>
      <c r="H158" s="163">
        <v>0</v>
      </c>
      <c r="I158" s="163">
        <v>0</v>
      </c>
      <c r="J158" s="45"/>
    </row>
    <row r="159" spans="1:10" x14ac:dyDescent="0.25">
      <c r="A159" s="109" t="s">
        <v>81</v>
      </c>
      <c r="B159" s="152">
        <v>3151</v>
      </c>
      <c r="C159" s="152">
        <v>0</v>
      </c>
      <c r="D159" s="163">
        <v>0</v>
      </c>
      <c r="E159" s="163">
        <v>0</v>
      </c>
      <c r="F159" s="163">
        <v>0</v>
      </c>
      <c r="G159" s="163">
        <v>0</v>
      </c>
      <c r="H159" s="163">
        <v>0</v>
      </c>
      <c r="I159" s="163">
        <v>0</v>
      </c>
      <c r="J159" s="45"/>
    </row>
    <row r="160" spans="1:10" x14ac:dyDescent="0.25">
      <c r="A160" s="46" t="s">
        <v>96</v>
      </c>
      <c r="B160" s="45">
        <v>3160</v>
      </c>
      <c r="C160" s="45">
        <v>0</v>
      </c>
      <c r="D160" s="163">
        <v>0</v>
      </c>
      <c r="E160" s="163">
        <v>0</v>
      </c>
      <c r="F160" s="163">
        <v>0</v>
      </c>
      <c r="G160" s="163">
        <v>0</v>
      </c>
      <c r="H160" s="163">
        <v>0</v>
      </c>
      <c r="I160" s="163">
        <v>0</v>
      </c>
      <c r="J160" s="45"/>
    </row>
    <row r="161" spans="1:15" x14ac:dyDescent="0.25">
      <c r="A161" s="109" t="s">
        <v>81</v>
      </c>
      <c r="B161" s="152">
        <v>3161</v>
      </c>
      <c r="C161" s="152">
        <v>0</v>
      </c>
      <c r="D161" s="163">
        <v>0</v>
      </c>
      <c r="E161" s="163">
        <v>0</v>
      </c>
      <c r="F161" s="163">
        <v>0</v>
      </c>
      <c r="G161" s="163">
        <v>0</v>
      </c>
      <c r="H161" s="163">
        <v>0</v>
      </c>
      <c r="I161" s="163">
        <v>0</v>
      </c>
      <c r="J161" s="45"/>
    </row>
    <row r="162" spans="1:15" x14ac:dyDescent="0.25">
      <c r="A162" s="385" t="s">
        <v>97</v>
      </c>
      <c r="B162" s="386"/>
      <c r="C162" s="386"/>
      <c r="D162" s="386"/>
      <c r="E162" s="386"/>
      <c r="F162" s="386"/>
      <c r="G162" s="386"/>
      <c r="H162" s="386"/>
      <c r="I162" s="386"/>
      <c r="J162" s="387"/>
    </row>
    <row r="163" spans="1:15" ht="25.5" x14ac:dyDescent="0.25">
      <c r="A163" s="24" t="s">
        <v>98</v>
      </c>
      <c r="B163" s="48">
        <v>4000</v>
      </c>
      <c r="C163" s="48">
        <v>0</v>
      </c>
      <c r="D163" s="72">
        <v>0</v>
      </c>
      <c r="E163" s="72">
        <v>0</v>
      </c>
      <c r="F163" s="72">
        <v>0</v>
      </c>
      <c r="G163" s="72">
        <v>0</v>
      </c>
      <c r="H163" s="72">
        <v>0</v>
      </c>
      <c r="I163" s="72">
        <v>0</v>
      </c>
      <c r="J163" s="37" t="s">
        <v>99</v>
      </c>
    </row>
    <row r="164" spans="1:15" x14ac:dyDescent="0.25">
      <c r="A164" s="55" t="s">
        <v>100</v>
      </c>
      <c r="B164" s="39">
        <v>4001</v>
      </c>
      <c r="C164" s="39">
        <v>0</v>
      </c>
      <c r="D164" s="72">
        <v>0</v>
      </c>
      <c r="E164" s="72">
        <v>0</v>
      </c>
      <c r="F164" s="72">
        <v>0</v>
      </c>
      <c r="G164" s="72">
        <v>0</v>
      </c>
      <c r="H164" s="72">
        <v>0</v>
      </c>
      <c r="I164" s="72">
        <v>0</v>
      </c>
      <c r="J164" s="37"/>
    </row>
    <row r="165" spans="1:15" x14ac:dyDescent="0.25">
      <c r="A165" s="55" t="s">
        <v>101</v>
      </c>
      <c r="B165" s="39">
        <v>4002</v>
      </c>
      <c r="C165" s="39">
        <v>0</v>
      </c>
      <c r="D165" s="72">
        <v>0</v>
      </c>
      <c r="E165" s="72">
        <v>0</v>
      </c>
      <c r="F165" s="72">
        <v>0</v>
      </c>
      <c r="G165" s="72">
        <v>0</v>
      </c>
      <c r="H165" s="72">
        <v>0</v>
      </c>
      <c r="I165" s="72">
        <v>0</v>
      </c>
      <c r="J165" s="37"/>
    </row>
    <row r="166" spans="1:15" x14ac:dyDescent="0.25">
      <c r="A166" s="55" t="s">
        <v>102</v>
      </c>
      <c r="B166" s="39">
        <v>4003</v>
      </c>
      <c r="C166" s="39">
        <v>0</v>
      </c>
      <c r="D166" s="72">
        <v>0</v>
      </c>
      <c r="E166" s="72">
        <v>0</v>
      </c>
      <c r="F166" s="72">
        <v>0</v>
      </c>
      <c r="G166" s="72">
        <v>0</v>
      </c>
      <c r="H166" s="72">
        <v>0</v>
      </c>
      <c r="I166" s="72">
        <v>0</v>
      </c>
      <c r="J166" s="37"/>
    </row>
    <row r="167" spans="1:15" x14ac:dyDescent="0.25">
      <c r="A167" s="25" t="s">
        <v>103</v>
      </c>
      <c r="B167" s="37">
        <v>4010</v>
      </c>
      <c r="C167" s="37">
        <v>0</v>
      </c>
      <c r="D167" s="72">
        <v>0</v>
      </c>
      <c r="E167" s="72">
        <v>0</v>
      </c>
      <c r="F167" s="72">
        <v>0</v>
      </c>
      <c r="G167" s="72">
        <v>0</v>
      </c>
      <c r="H167" s="72">
        <v>0</v>
      </c>
      <c r="I167" s="72">
        <v>0</v>
      </c>
      <c r="J167" s="37"/>
    </row>
    <row r="168" spans="1:15" ht="25.5" x14ac:dyDescent="0.25">
      <c r="A168" s="24" t="s">
        <v>104</v>
      </c>
      <c r="B168" s="48">
        <v>4020</v>
      </c>
      <c r="C168" s="48">
        <v>0</v>
      </c>
      <c r="D168" s="72">
        <v>0</v>
      </c>
      <c r="E168" s="72">
        <v>0</v>
      </c>
      <c r="F168" s="72">
        <v>0</v>
      </c>
      <c r="G168" s="72">
        <v>0</v>
      </c>
      <c r="H168" s="72">
        <v>0</v>
      </c>
      <c r="I168" s="72">
        <v>0</v>
      </c>
      <c r="J168" s="37" t="s">
        <v>105</v>
      </c>
    </row>
    <row r="169" spans="1:15" x14ac:dyDescent="0.25">
      <c r="A169" s="55" t="s">
        <v>100</v>
      </c>
      <c r="B169" s="39">
        <v>4021</v>
      </c>
      <c r="C169" s="39">
        <v>0</v>
      </c>
      <c r="D169" s="72">
        <v>0</v>
      </c>
      <c r="E169" s="72">
        <v>0</v>
      </c>
      <c r="F169" s="72">
        <v>0</v>
      </c>
      <c r="G169" s="72">
        <v>0</v>
      </c>
      <c r="H169" s="72">
        <v>0</v>
      </c>
      <c r="I169" s="72">
        <v>0</v>
      </c>
      <c r="J169" s="37"/>
    </row>
    <row r="170" spans="1:15" x14ac:dyDescent="0.25">
      <c r="A170" s="55" t="s">
        <v>101</v>
      </c>
      <c r="B170" s="39">
        <v>4022</v>
      </c>
      <c r="C170" s="39">
        <v>0</v>
      </c>
      <c r="D170" s="72">
        <v>0</v>
      </c>
      <c r="E170" s="72">
        <v>0</v>
      </c>
      <c r="F170" s="72">
        <v>0</v>
      </c>
      <c r="G170" s="72">
        <v>0</v>
      </c>
      <c r="H170" s="72">
        <v>0</v>
      </c>
      <c r="I170" s="72">
        <v>0</v>
      </c>
      <c r="J170" s="37"/>
    </row>
    <row r="171" spans="1:15" x14ac:dyDescent="0.25">
      <c r="A171" s="55" t="s">
        <v>102</v>
      </c>
      <c r="B171" s="39">
        <v>4023</v>
      </c>
      <c r="C171" s="39">
        <v>0</v>
      </c>
      <c r="D171" s="72">
        <v>0</v>
      </c>
      <c r="E171" s="72">
        <v>0</v>
      </c>
      <c r="F171" s="72">
        <v>0</v>
      </c>
      <c r="G171" s="72">
        <v>0</v>
      </c>
      <c r="H171" s="72">
        <v>0</v>
      </c>
      <c r="I171" s="72">
        <v>0</v>
      </c>
      <c r="J171" s="37"/>
    </row>
    <row r="172" spans="1:15" x14ac:dyDescent="0.25">
      <c r="A172" s="25" t="s">
        <v>106</v>
      </c>
      <c r="B172" s="37">
        <v>4030</v>
      </c>
      <c r="C172" s="37">
        <v>0</v>
      </c>
      <c r="D172" s="72">
        <v>0</v>
      </c>
      <c r="E172" s="72">
        <v>0</v>
      </c>
      <c r="F172" s="72">
        <v>0</v>
      </c>
      <c r="G172" s="72">
        <v>0</v>
      </c>
      <c r="H172" s="72">
        <v>0</v>
      </c>
      <c r="I172" s="72">
        <v>0</v>
      </c>
      <c r="J172" s="37"/>
    </row>
    <row r="173" spans="1:15" x14ac:dyDescent="0.25">
      <c r="A173" s="385" t="s">
        <v>107</v>
      </c>
      <c r="B173" s="386"/>
      <c r="C173" s="386"/>
      <c r="D173" s="386"/>
      <c r="E173" s="386"/>
      <c r="F173" s="386"/>
      <c r="G173" s="386"/>
      <c r="H173" s="386"/>
      <c r="I173" s="386"/>
      <c r="J173" s="387"/>
    </row>
    <row r="174" spans="1:15" ht="25.5" x14ac:dyDescent="0.25">
      <c r="A174" s="56" t="s">
        <v>437</v>
      </c>
      <c r="B174" s="186">
        <v>5000</v>
      </c>
      <c r="C174" s="350">
        <f t="shared" ref="C174:I174" si="9">C42+C49+C51+C65+C146+C163</f>
        <v>115689.76000000001</v>
      </c>
      <c r="D174" s="357">
        <f t="shared" si="9"/>
        <v>170895.72406666668</v>
      </c>
      <c r="E174" s="336">
        <f t="shared" si="9"/>
        <v>161842.90000000002</v>
      </c>
      <c r="F174" s="336">
        <f t="shared" si="9"/>
        <v>67185.05</v>
      </c>
      <c r="G174" s="336">
        <f t="shared" si="9"/>
        <v>28740.55</v>
      </c>
      <c r="H174" s="336">
        <f t="shared" si="9"/>
        <v>19231.5</v>
      </c>
      <c r="I174" s="336">
        <f t="shared" si="9"/>
        <v>41891.289999999994</v>
      </c>
      <c r="J174" s="166"/>
    </row>
    <row r="175" spans="1:15" ht="25.5" x14ac:dyDescent="0.25">
      <c r="A175" s="56" t="s">
        <v>276</v>
      </c>
      <c r="B175" s="186">
        <v>5010</v>
      </c>
      <c r="C175" s="357">
        <f>C73+C98+C123+C130+C131+C149+C168</f>
        <v>143507.9</v>
      </c>
      <c r="D175" s="350">
        <v>152296.82999999999</v>
      </c>
      <c r="E175" s="337">
        <f>E73+E98+E123+E130+E131+E149+E168</f>
        <v>192887.863854272</v>
      </c>
      <c r="F175" s="337">
        <f>F73+F98+F123+F130+F131+F149+F168</f>
        <v>56373.420566568006</v>
      </c>
      <c r="G175" s="337">
        <f>G73+G98+G123+G130+G131+G149+G168</f>
        <v>40604.311963568005</v>
      </c>
      <c r="H175" s="337">
        <f>H73+H98+H123+H130+H131+H149+H168</f>
        <v>44039.061963568005</v>
      </c>
      <c r="I175" s="337">
        <f>I73+I98+I123+I130+I131+I149+I168</f>
        <v>51743.373360568003</v>
      </c>
      <c r="J175" s="166"/>
      <c r="L175">
        <f>117667.4+3068.66+2522.07+29300</f>
        <v>152558.13</v>
      </c>
    </row>
    <row r="176" spans="1:15" ht="19.5" customHeight="1" x14ac:dyDescent="0.25">
      <c r="A176" s="25" t="s">
        <v>438</v>
      </c>
      <c r="B176" s="166">
        <v>5020</v>
      </c>
      <c r="C176" s="351">
        <f>C42+C49+C51+C65-C73</f>
        <v>9807.820000000007</v>
      </c>
      <c r="D176" s="351">
        <v>30051.79</v>
      </c>
      <c r="E176" s="337">
        <f>E42+E49+E51+E65-E73</f>
        <v>9327.9105537280266</v>
      </c>
      <c r="F176" s="337">
        <f>F42+F51+F65-F73</f>
        <v>908.12403543199616</v>
      </c>
      <c r="G176" s="337">
        <f>G42+G51+G65-G73</f>
        <v>-11336.517361568</v>
      </c>
      <c r="H176" s="337">
        <f>H42+H51+H65-H73</f>
        <v>-14771.267361568003</v>
      </c>
      <c r="I176" s="337">
        <f>I42+I51+I65-I73</f>
        <v>184.21124143199268</v>
      </c>
      <c r="J176" s="195" t="s">
        <v>680</v>
      </c>
      <c r="L176" s="160"/>
      <c r="M176" s="160"/>
      <c r="N176" s="160"/>
      <c r="O176" s="160"/>
    </row>
    <row r="177" spans="1:15" ht="19.5" customHeight="1" x14ac:dyDescent="0.25">
      <c r="A177" s="54" t="s">
        <v>109</v>
      </c>
      <c r="B177" s="152">
        <v>5021</v>
      </c>
      <c r="C177" s="166">
        <v>0</v>
      </c>
      <c r="D177" s="364">
        <v>0</v>
      </c>
      <c r="E177" s="337">
        <v>0</v>
      </c>
      <c r="F177" s="337">
        <v>0</v>
      </c>
      <c r="G177" s="337">
        <v>0</v>
      </c>
      <c r="H177" s="337">
        <v>0</v>
      </c>
      <c r="I177" s="337">
        <v>0</v>
      </c>
      <c r="J177" s="195"/>
    </row>
    <row r="178" spans="1:15" ht="19.5" customHeight="1" x14ac:dyDescent="0.25">
      <c r="A178" s="54" t="s">
        <v>110</v>
      </c>
      <c r="B178" s="152">
        <v>5022</v>
      </c>
      <c r="C178" s="166"/>
      <c r="D178" s="359"/>
      <c r="E178" s="163"/>
      <c r="F178" s="163"/>
      <c r="G178" s="163"/>
      <c r="H178" s="163"/>
      <c r="I178" s="163"/>
      <c r="J178" s="195"/>
    </row>
    <row r="179" spans="1:15" ht="29.25" customHeight="1" x14ac:dyDescent="0.25">
      <c r="A179" s="102" t="s">
        <v>274</v>
      </c>
      <c r="B179" s="166">
        <v>5030</v>
      </c>
      <c r="C179" s="358">
        <f t="shared" ref="C179:I179" si="10">C176-C98-C123-C130</f>
        <v>-27818.139999999992</v>
      </c>
      <c r="D179" s="351">
        <f t="shared" si="10"/>
        <v>-9319.9399999999987</v>
      </c>
      <c r="E179" s="337">
        <f t="shared" si="10"/>
        <v>-31044.963854271973</v>
      </c>
      <c r="F179" s="337">
        <f t="shared" si="10"/>
        <v>-9228.1705665680038</v>
      </c>
      <c r="G179" s="337">
        <f t="shared" si="10"/>
        <v>-21372.811963567998</v>
      </c>
      <c r="H179" s="337">
        <f t="shared" si="10"/>
        <v>-24807.561963568005</v>
      </c>
      <c r="I179" s="337">
        <f t="shared" si="10"/>
        <v>-9852.0833605680073</v>
      </c>
      <c r="J179" s="195" t="s">
        <v>451</v>
      </c>
      <c r="L179" s="160"/>
      <c r="M179" s="160"/>
      <c r="N179" s="160"/>
      <c r="O179" s="160"/>
    </row>
    <row r="180" spans="1:15" ht="17.25" customHeight="1" x14ac:dyDescent="0.25">
      <c r="A180" s="54" t="s">
        <v>109</v>
      </c>
      <c r="B180" s="152">
        <v>5031</v>
      </c>
      <c r="C180" s="166"/>
      <c r="D180" s="163"/>
      <c r="E180" s="337"/>
      <c r="F180" s="337"/>
      <c r="G180" s="337"/>
      <c r="H180" s="337"/>
      <c r="I180" s="337"/>
      <c r="J180" s="166"/>
    </row>
    <row r="181" spans="1:15" ht="18.75" customHeight="1" x14ac:dyDescent="0.25">
      <c r="A181" s="54" t="s">
        <v>110</v>
      </c>
      <c r="B181" s="152">
        <v>5032</v>
      </c>
      <c r="C181" s="166"/>
      <c r="D181" s="163"/>
      <c r="E181" s="163"/>
      <c r="F181" s="163"/>
      <c r="G181" s="163"/>
      <c r="H181" s="163"/>
      <c r="I181" s="163"/>
      <c r="J181" s="166"/>
    </row>
    <row r="182" spans="1:15" ht="26.25" customHeight="1" x14ac:dyDescent="0.25">
      <c r="A182" s="102" t="s">
        <v>275</v>
      </c>
      <c r="B182" s="166">
        <v>5040</v>
      </c>
      <c r="C182" s="358">
        <f t="shared" ref="C182:I182" si="11">C174-C175</f>
        <v>-27818.139999999985</v>
      </c>
      <c r="D182" s="368">
        <f t="shared" si="11"/>
        <v>18598.894066666689</v>
      </c>
      <c r="E182" s="337">
        <f t="shared" si="11"/>
        <v>-31044.963854271977</v>
      </c>
      <c r="F182" s="337">
        <f t="shared" si="11"/>
        <v>10811.629433431997</v>
      </c>
      <c r="G182" s="337">
        <f t="shared" si="11"/>
        <v>-11863.761963568006</v>
      </c>
      <c r="H182" s="337">
        <f t="shared" si="11"/>
        <v>-24807.561963568005</v>
      </c>
      <c r="I182" s="337">
        <f t="shared" si="11"/>
        <v>-9852.0833605680091</v>
      </c>
      <c r="J182" s="187" t="s">
        <v>436</v>
      </c>
    </row>
    <row r="183" spans="1:15" ht="21.75" customHeight="1" x14ac:dyDescent="0.25">
      <c r="A183" s="54" t="s">
        <v>109</v>
      </c>
      <c r="B183" s="152">
        <v>5041</v>
      </c>
      <c r="C183" s="166"/>
      <c r="D183" s="163"/>
      <c r="E183" s="337"/>
      <c r="F183" s="337">
        <f>F182</f>
        <v>10811.629433431997</v>
      </c>
      <c r="G183" s="337">
        <v>0</v>
      </c>
      <c r="H183" s="337">
        <v>0</v>
      </c>
      <c r="I183" s="337">
        <v>0</v>
      </c>
      <c r="J183" s="187"/>
    </row>
    <row r="184" spans="1:15" ht="20.25" customHeight="1" x14ac:dyDescent="0.25">
      <c r="A184" s="54" t="s">
        <v>110</v>
      </c>
      <c r="B184" s="152">
        <v>5042</v>
      </c>
      <c r="C184" s="358">
        <f>C182</f>
        <v>-27818.139999999985</v>
      </c>
      <c r="D184" s="365">
        <f>D182</f>
        <v>18598.894066666689</v>
      </c>
      <c r="E184" s="337">
        <f>E182</f>
        <v>-31044.963854271977</v>
      </c>
      <c r="F184" s="163"/>
      <c r="G184" s="337">
        <f>G182</f>
        <v>-11863.761963568006</v>
      </c>
      <c r="H184" s="337">
        <f>H182</f>
        <v>-24807.561963568005</v>
      </c>
      <c r="I184" s="337">
        <f>I182</f>
        <v>-9852.0833605680091</v>
      </c>
      <c r="J184" s="187"/>
    </row>
    <row r="185" spans="1:15" ht="20.25" customHeight="1" x14ac:dyDescent="0.25">
      <c r="A185" s="25" t="s">
        <v>439</v>
      </c>
      <c r="B185" s="166">
        <v>5050</v>
      </c>
      <c r="C185" s="166"/>
      <c r="D185" s="163"/>
      <c r="E185" s="337">
        <v>0</v>
      </c>
      <c r="F185" s="337">
        <v>0</v>
      </c>
      <c r="G185" s="337">
        <v>0</v>
      </c>
      <c r="H185" s="337">
        <v>0</v>
      </c>
      <c r="I185" s="337">
        <v>0</v>
      </c>
      <c r="J185" s="187"/>
    </row>
    <row r="186" spans="1:15" ht="30" customHeight="1" x14ac:dyDescent="0.25">
      <c r="A186" s="24" t="s">
        <v>108</v>
      </c>
      <c r="B186" s="48">
        <v>5060</v>
      </c>
      <c r="C186" s="48"/>
      <c r="D186" s="72"/>
      <c r="E186" s="338">
        <f>E182-E185</f>
        <v>-31044.963854271977</v>
      </c>
      <c r="F186" s="338">
        <f>F182-F185</f>
        <v>10811.629433431997</v>
      </c>
      <c r="G186" s="338">
        <f>G182-G185</f>
        <v>-11863.761963568006</v>
      </c>
      <c r="H186" s="338">
        <f>H182-H185</f>
        <v>-24807.561963568005</v>
      </c>
      <c r="I186" s="338">
        <f>I182-I185</f>
        <v>-9852.0833605680091</v>
      </c>
      <c r="J186" s="185" t="s">
        <v>440</v>
      </c>
    </row>
    <row r="187" spans="1:15" ht="19.5" customHeight="1" x14ac:dyDescent="0.25">
      <c r="A187" s="25" t="s">
        <v>109</v>
      </c>
      <c r="B187" s="37">
        <v>5061</v>
      </c>
      <c r="C187" s="37"/>
      <c r="D187" s="72"/>
      <c r="E187" s="338"/>
      <c r="F187" s="338"/>
      <c r="G187" s="338"/>
      <c r="H187" s="338"/>
      <c r="I187" s="338"/>
      <c r="J187" s="37"/>
    </row>
    <row r="188" spans="1:15" x14ac:dyDescent="0.25">
      <c r="A188" s="25" t="s">
        <v>110</v>
      </c>
      <c r="B188" s="37">
        <v>5062</v>
      </c>
      <c r="C188" s="342">
        <f>C184</f>
        <v>-27818.139999999985</v>
      </c>
      <c r="D188" s="72"/>
      <c r="E188" s="338">
        <f>E186</f>
        <v>-31044.963854271977</v>
      </c>
      <c r="F188" s="72"/>
      <c r="G188" s="338">
        <f>G186</f>
        <v>-11863.761963568006</v>
      </c>
      <c r="H188" s="338">
        <f>H186</f>
        <v>-24807.561963568005</v>
      </c>
      <c r="I188" s="338">
        <f>I186</f>
        <v>-9852.0833605680091</v>
      </c>
      <c r="J188" s="37"/>
    </row>
    <row r="189" spans="1:15" x14ac:dyDescent="0.25">
      <c r="A189" s="397"/>
      <c r="B189" s="386"/>
      <c r="C189" s="386"/>
      <c r="D189" s="386"/>
      <c r="E189" s="386"/>
      <c r="F189" s="386"/>
      <c r="G189" s="386"/>
      <c r="H189" s="386"/>
      <c r="I189" s="386"/>
      <c r="J189" s="387"/>
    </row>
    <row r="190" spans="1:15" ht="25.5" x14ac:dyDescent="0.25">
      <c r="A190" s="25" t="s">
        <v>278</v>
      </c>
      <c r="B190" s="90">
        <v>6000</v>
      </c>
      <c r="C190" s="90"/>
      <c r="D190" s="90"/>
      <c r="E190" s="341"/>
      <c r="F190" s="341"/>
      <c r="G190" s="341"/>
      <c r="H190" s="341"/>
      <c r="I190" s="341"/>
      <c r="J190" s="341"/>
    </row>
    <row r="191" spans="1:15" ht="38.25" x14ac:dyDescent="0.25">
      <c r="A191" s="25" t="s">
        <v>279</v>
      </c>
      <c r="B191" s="90">
        <v>6010</v>
      </c>
      <c r="C191" s="90"/>
      <c r="D191" s="90"/>
      <c r="E191" s="341"/>
      <c r="F191" s="341"/>
      <c r="G191" s="341"/>
      <c r="H191" s="341"/>
      <c r="I191" s="341"/>
      <c r="J191" s="90"/>
    </row>
    <row r="192" spans="1:15" x14ac:dyDescent="0.25">
      <c r="A192" s="25" t="s">
        <v>280</v>
      </c>
      <c r="B192" s="90">
        <v>6020</v>
      </c>
      <c r="C192" s="90"/>
      <c r="D192" s="90"/>
      <c r="E192" s="341"/>
      <c r="F192" s="341"/>
      <c r="G192" s="341"/>
      <c r="H192" s="341"/>
      <c r="I192" s="341"/>
      <c r="J192" s="90"/>
    </row>
    <row r="193" spans="1:14" ht="25.5" x14ac:dyDescent="0.25">
      <c r="A193" s="54" t="s">
        <v>281</v>
      </c>
      <c r="B193" s="58">
        <v>6021</v>
      </c>
      <c r="C193" s="58"/>
      <c r="D193" s="90"/>
      <c r="E193" s="90"/>
      <c r="F193" s="90"/>
      <c r="G193" s="90"/>
      <c r="H193" s="90"/>
      <c r="I193" s="90"/>
      <c r="J193" s="90"/>
    </row>
    <row r="194" spans="1:14" x14ac:dyDescent="0.25">
      <c r="A194" s="25" t="s">
        <v>282</v>
      </c>
      <c r="B194" s="90">
        <v>6030</v>
      </c>
      <c r="C194" s="90"/>
      <c r="D194" s="90"/>
      <c r="E194" s="90"/>
      <c r="F194" s="90"/>
      <c r="G194" s="90"/>
      <c r="H194" s="90"/>
      <c r="I194" s="90"/>
      <c r="J194" s="90"/>
    </row>
    <row r="195" spans="1:14" x14ac:dyDescent="0.25">
      <c r="A195" s="25" t="s">
        <v>283</v>
      </c>
      <c r="B195" s="90">
        <v>6040</v>
      </c>
      <c r="C195" s="90"/>
      <c r="D195" s="90"/>
      <c r="E195" s="90"/>
      <c r="F195" s="90"/>
      <c r="G195" s="90"/>
      <c r="H195" s="90"/>
      <c r="I195" s="90"/>
      <c r="J195" s="90"/>
    </row>
    <row r="196" spans="1:14" ht="38.25" x14ac:dyDescent="0.25">
      <c r="A196" s="25" t="s">
        <v>284</v>
      </c>
      <c r="B196" s="90">
        <v>6050</v>
      </c>
      <c r="C196" s="90"/>
      <c r="D196" s="90"/>
      <c r="E196" s="90"/>
      <c r="F196" s="90"/>
      <c r="G196" s="90"/>
      <c r="H196" s="90"/>
      <c r="I196" s="90"/>
      <c r="J196" s="90" t="s">
        <v>286</v>
      </c>
    </row>
    <row r="197" spans="1:14" ht="38.25" x14ac:dyDescent="0.25">
      <c r="A197" s="25" t="s">
        <v>285</v>
      </c>
      <c r="B197" s="90">
        <v>6060</v>
      </c>
      <c r="C197" s="90"/>
      <c r="D197" s="90"/>
      <c r="E197" s="90"/>
      <c r="F197" s="90"/>
      <c r="G197" s="90"/>
      <c r="H197" s="90"/>
      <c r="I197" s="90"/>
      <c r="J197" s="90"/>
    </row>
    <row r="198" spans="1:14" x14ac:dyDescent="0.25">
      <c r="A198" s="385" t="s">
        <v>441</v>
      </c>
      <c r="B198" s="386"/>
      <c r="C198" s="386"/>
      <c r="D198" s="386"/>
      <c r="E198" s="386"/>
      <c r="F198" s="386"/>
      <c r="G198" s="386"/>
      <c r="H198" s="386"/>
      <c r="I198" s="386"/>
      <c r="J198" s="387"/>
    </row>
    <row r="199" spans="1:14" ht="25.5" x14ac:dyDescent="0.25">
      <c r="A199" s="24" t="s">
        <v>111</v>
      </c>
      <c r="B199" s="24"/>
      <c r="C199" s="24"/>
      <c r="D199" s="57"/>
      <c r="E199" s="23"/>
      <c r="F199" s="23" t="s">
        <v>112</v>
      </c>
      <c r="G199" s="23" t="s">
        <v>113</v>
      </c>
      <c r="H199" s="23" t="s">
        <v>114</v>
      </c>
      <c r="I199" s="23" t="s">
        <v>115</v>
      </c>
      <c r="J199" s="22"/>
    </row>
    <row r="200" spans="1:14" ht="71.25" customHeight="1" x14ac:dyDescent="0.25">
      <c r="A200" s="46" t="s">
        <v>116</v>
      </c>
      <c r="B200" s="21">
        <v>7000</v>
      </c>
      <c r="C200" s="90">
        <f>254+1</f>
        <v>255</v>
      </c>
      <c r="D200" s="356">
        <v>348</v>
      </c>
      <c r="E200" s="23">
        <v>355</v>
      </c>
      <c r="F200" s="23">
        <v>355</v>
      </c>
      <c r="G200" s="23">
        <v>325</v>
      </c>
      <c r="H200" s="23">
        <v>325</v>
      </c>
      <c r="I200" s="23">
        <v>355</v>
      </c>
      <c r="J200" s="22"/>
      <c r="K200" s="374">
        <f>17826.912</f>
        <v>17826.912</v>
      </c>
      <c r="L200" s="374">
        <v>16223.718000000001</v>
      </c>
      <c r="M200" s="374">
        <v>16722.8</v>
      </c>
      <c r="N200" s="374">
        <v>17173.206999999999</v>
      </c>
    </row>
    <row r="201" spans="1:14" x14ac:dyDescent="0.25">
      <c r="A201" s="108" t="s">
        <v>289</v>
      </c>
      <c r="B201" s="58">
        <v>7001</v>
      </c>
      <c r="C201" s="58">
        <v>1</v>
      </c>
      <c r="D201" s="356">
        <v>1</v>
      </c>
      <c r="E201" s="23">
        <v>1</v>
      </c>
      <c r="F201" s="23">
        <v>1</v>
      </c>
      <c r="G201" s="23">
        <v>1</v>
      </c>
      <c r="H201" s="23">
        <v>1</v>
      </c>
      <c r="I201" s="23">
        <v>1</v>
      </c>
      <c r="J201" s="59"/>
    </row>
    <row r="202" spans="1:14" ht="25.5" x14ac:dyDescent="0.25">
      <c r="A202" s="108" t="s">
        <v>288</v>
      </c>
      <c r="B202" s="58">
        <v>7002</v>
      </c>
      <c r="C202" s="58">
        <v>41.5</v>
      </c>
      <c r="D202" s="356">
        <v>41.5</v>
      </c>
      <c r="E202" s="23">
        <f>E203+E204+E205+E206+E207</f>
        <v>41.5</v>
      </c>
      <c r="F202" s="23">
        <f>E202</f>
        <v>41.5</v>
      </c>
      <c r="G202" s="23">
        <f>F202</f>
        <v>41.5</v>
      </c>
      <c r="H202" s="23">
        <f>G202</f>
        <v>41.5</v>
      </c>
      <c r="I202" s="23">
        <f>H202</f>
        <v>41.5</v>
      </c>
      <c r="J202" s="60"/>
    </row>
    <row r="203" spans="1:14" x14ac:dyDescent="0.25">
      <c r="A203" s="109" t="s">
        <v>291</v>
      </c>
      <c r="B203" s="58" t="s">
        <v>295</v>
      </c>
      <c r="C203" s="58">
        <v>16</v>
      </c>
      <c r="D203" s="356">
        <v>16</v>
      </c>
      <c r="E203" s="92">
        <v>16</v>
      </c>
      <c r="F203" s="92">
        <f>E203</f>
        <v>16</v>
      </c>
      <c r="G203" s="92">
        <f>E203</f>
        <v>16</v>
      </c>
      <c r="H203" s="92">
        <f t="shared" ref="H203:I205" si="12">G203</f>
        <v>16</v>
      </c>
      <c r="I203" s="92">
        <f t="shared" si="12"/>
        <v>16</v>
      </c>
      <c r="J203" s="60"/>
    </row>
    <row r="204" spans="1:14" x14ac:dyDescent="0.25">
      <c r="A204" s="109" t="s">
        <v>290</v>
      </c>
      <c r="B204" s="58" t="s">
        <v>296</v>
      </c>
      <c r="C204" s="58">
        <v>14</v>
      </c>
      <c r="D204" s="356">
        <v>14</v>
      </c>
      <c r="E204" s="92">
        <v>14</v>
      </c>
      <c r="F204" s="92">
        <f>E204</f>
        <v>14</v>
      </c>
      <c r="G204" s="92">
        <f>F204</f>
        <v>14</v>
      </c>
      <c r="H204" s="92">
        <f t="shared" si="12"/>
        <v>14</v>
      </c>
      <c r="I204" s="92">
        <f t="shared" si="12"/>
        <v>14</v>
      </c>
      <c r="J204" s="60"/>
    </row>
    <row r="205" spans="1:14" x14ac:dyDescent="0.25">
      <c r="A205" s="109" t="s">
        <v>292</v>
      </c>
      <c r="B205" s="58" t="s">
        <v>297</v>
      </c>
      <c r="C205" s="58">
        <v>1.5</v>
      </c>
      <c r="D205" s="356">
        <v>1.5</v>
      </c>
      <c r="E205" s="92">
        <v>1.5</v>
      </c>
      <c r="F205" s="92">
        <f>E205</f>
        <v>1.5</v>
      </c>
      <c r="G205" s="92">
        <f>F205</f>
        <v>1.5</v>
      </c>
      <c r="H205" s="92">
        <f t="shared" si="12"/>
        <v>1.5</v>
      </c>
      <c r="I205" s="92">
        <f t="shared" si="12"/>
        <v>1.5</v>
      </c>
      <c r="J205" s="60"/>
    </row>
    <row r="206" spans="1:14" x14ac:dyDescent="0.25">
      <c r="A206" s="109" t="s">
        <v>293</v>
      </c>
      <c r="B206" s="58" t="s">
        <v>298</v>
      </c>
      <c r="C206" s="58">
        <v>6</v>
      </c>
      <c r="D206" s="356">
        <v>6</v>
      </c>
      <c r="E206" s="92">
        <v>6</v>
      </c>
      <c r="F206" s="92">
        <f>E206</f>
        <v>6</v>
      </c>
      <c r="G206" s="92">
        <f>F206</f>
        <v>6</v>
      </c>
      <c r="H206" s="92">
        <f>G206</f>
        <v>6</v>
      </c>
      <c r="I206" s="92">
        <f>G206</f>
        <v>6</v>
      </c>
      <c r="J206" s="60"/>
    </row>
    <row r="207" spans="1:14" x14ac:dyDescent="0.25">
      <c r="A207" s="108" t="s">
        <v>287</v>
      </c>
      <c r="B207" s="58">
        <v>7003</v>
      </c>
      <c r="C207" s="58">
        <v>4</v>
      </c>
      <c r="D207" s="356">
        <v>4</v>
      </c>
      <c r="E207" s="23">
        <v>4</v>
      </c>
      <c r="F207" s="23">
        <v>25</v>
      </c>
      <c r="G207" s="23">
        <f>F207</f>
        <v>25</v>
      </c>
      <c r="H207" s="23">
        <f>G207</f>
        <v>25</v>
      </c>
      <c r="I207" s="23">
        <f>H207</f>
        <v>25</v>
      </c>
      <c r="J207" s="60"/>
    </row>
    <row r="208" spans="1:14" x14ac:dyDescent="0.25">
      <c r="A208" s="108" t="s">
        <v>294</v>
      </c>
      <c r="B208" s="58">
        <v>7004</v>
      </c>
      <c r="C208" s="58">
        <f>C200-C201-C203-C204-C205-C206-C207</f>
        <v>212.5</v>
      </c>
      <c r="D208" s="356">
        <v>308</v>
      </c>
      <c r="E208" s="23">
        <v>308</v>
      </c>
      <c r="F208" s="23">
        <f>E208</f>
        <v>308</v>
      </c>
      <c r="G208" s="23">
        <f>308-12</f>
        <v>296</v>
      </c>
      <c r="H208" s="23">
        <f>G208</f>
        <v>296</v>
      </c>
      <c r="I208" s="23">
        <v>308</v>
      </c>
      <c r="J208" s="22"/>
    </row>
    <row r="209" spans="1:10" ht="25.5" x14ac:dyDescent="0.25">
      <c r="A209" s="46" t="s">
        <v>117</v>
      </c>
      <c r="B209" s="21">
        <v>7010</v>
      </c>
      <c r="C209" s="352">
        <v>35125</v>
      </c>
      <c r="D209" s="339">
        <v>68346.635999999999</v>
      </c>
      <c r="E209" s="23">
        <f>E133</f>
        <v>70456.409497600005</v>
      </c>
      <c r="F209" s="23">
        <f>17826.912</f>
        <v>17826.912</v>
      </c>
      <c r="G209" s="23">
        <v>16223.718000000001</v>
      </c>
      <c r="H209" s="23">
        <v>16722.8</v>
      </c>
      <c r="I209" s="23">
        <v>17173.206999999999</v>
      </c>
      <c r="J209" s="22"/>
    </row>
    <row r="210" spans="1:10" x14ac:dyDescent="0.25">
      <c r="A210" s="108" t="s">
        <v>289</v>
      </c>
      <c r="B210" s="58">
        <v>7011</v>
      </c>
      <c r="C210" s="58">
        <v>583.1</v>
      </c>
      <c r="D210" s="356">
        <v>689.94</v>
      </c>
      <c r="E210" s="23">
        <f>64.86*12</f>
        <v>778.31999999999994</v>
      </c>
      <c r="F210" s="23">
        <f t="shared" ref="F210:F216" si="13">E210/4</f>
        <v>194.57999999999998</v>
      </c>
      <c r="G210" s="23">
        <f>F210</f>
        <v>194.57999999999998</v>
      </c>
      <c r="H210" s="23">
        <f>G210</f>
        <v>194.57999999999998</v>
      </c>
      <c r="I210" s="23">
        <f>H210</f>
        <v>194.57999999999998</v>
      </c>
      <c r="J210" s="22"/>
    </row>
    <row r="211" spans="1:10" ht="25.5" x14ac:dyDescent="0.25">
      <c r="A211" s="108" t="s">
        <v>288</v>
      </c>
      <c r="B211" s="58">
        <v>7012</v>
      </c>
      <c r="C211" s="58">
        <f>C212+C213+C214+C215+C216</f>
        <v>6216.7759999999998</v>
      </c>
      <c r="D211" s="339">
        <v>12096.862999999999</v>
      </c>
      <c r="E211" s="23">
        <f>E212+E213+E214+E215+E216</f>
        <v>13548.486560000003</v>
      </c>
      <c r="F211" s="339">
        <f t="shared" si="13"/>
        <v>3387.1216400000008</v>
      </c>
      <c r="G211" s="339">
        <f t="shared" ref="G211:G218" si="14">F211</f>
        <v>3387.1216400000008</v>
      </c>
      <c r="H211" s="339">
        <f>F211</f>
        <v>3387.1216400000008</v>
      </c>
      <c r="I211" s="339">
        <f t="shared" ref="I211:I218" si="15">H211</f>
        <v>3387.1216400000008</v>
      </c>
      <c r="J211" s="22"/>
    </row>
    <row r="212" spans="1:10" x14ac:dyDescent="0.25">
      <c r="A212" s="109" t="s">
        <v>291</v>
      </c>
      <c r="B212" s="58" t="s">
        <v>299</v>
      </c>
      <c r="C212" s="58">
        <v>2992.65</v>
      </c>
      <c r="D212" s="339">
        <v>5823.558</v>
      </c>
      <c r="E212" s="23">
        <f>((202.465*12*1.3)+(31.21+28.75+18.89+18.89+18.89+18.07+18.07+18.07)*12*1.3)*1.12</f>
        <v>6522.3849600000003</v>
      </c>
      <c r="F212" s="23">
        <f t="shared" si="13"/>
        <v>1630.5962400000001</v>
      </c>
      <c r="G212" s="23">
        <f t="shared" si="14"/>
        <v>1630.5962400000001</v>
      </c>
      <c r="H212" s="23">
        <f t="shared" ref="H212:H226" si="16">G212</f>
        <v>1630.5962400000001</v>
      </c>
      <c r="I212" s="23">
        <f t="shared" si="15"/>
        <v>1630.5962400000001</v>
      </c>
      <c r="J212" s="22"/>
    </row>
    <row r="213" spans="1:10" x14ac:dyDescent="0.25">
      <c r="A213" s="109" t="s">
        <v>290</v>
      </c>
      <c r="B213" s="58" t="s">
        <v>300</v>
      </c>
      <c r="C213" s="58">
        <v>2005.64</v>
      </c>
      <c r="D213" s="339">
        <v>3902.7289999999998</v>
      </c>
      <c r="E213" s="23">
        <f>(3972.072-69.343)*1.12</f>
        <v>4371.0564800000011</v>
      </c>
      <c r="F213" s="23">
        <f t="shared" si="13"/>
        <v>1092.7641200000003</v>
      </c>
      <c r="G213" s="23">
        <f t="shared" si="14"/>
        <v>1092.7641200000003</v>
      </c>
      <c r="H213" s="23">
        <f t="shared" si="16"/>
        <v>1092.7641200000003</v>
      </c>
      <c r="I213" s="23">
        <f t="shared" si="15"/>
        <v>1092.7641200000003</v>
      </c>
      <c r="J213" s="22"/>
    </row>
    <row r="214" spans="1:10" x14ac:dyDescent="0.25">
      <c r="A214" s="109" t="s">
        <v>292</v>
      </c>
      <c r="B214" s="58" t="s">
        <v>301</v>
      </c>
      <c r="C214" s="58">
        <v>131.71899999999999</v>
      </c>
      <c r="D214" s="339">
        <v>256.30799999999999</v>
      </c>
      <c r="E214" s="23">
        <f>256.308*1.12</f>
        <v>287.06496000000004</v>
      </c>
      <c r="F214" s="23">
        <f t="shared" si="13"/>
        <v>71.76624000000001</v>
      </c>
      <c r="G214" s="23">
        <f t="shared" si="14"/>
        <v>71.76624000000001</v>
      </c>
      <c r="H214" s="23">
        <f t="shared" si="16"/>
        <v>71.76624000000001</v>
      </c>
      <c r="I214" s="23">
        <f t="shared" si="15"/>
        <v>71.76624000000001</v>
      </c>
      <c r="J214" s="22"/>
    </row>
    <row r="215" spans="1:10" x14ac:dyDescent="0.25">
      <c r="A215" s="109" t="s">
        <v>293</v>
      </c>
      <c r="B215" s="58" t="s">
        <v>302</v>
      </c>
      <c r="C215" s="58">
        <v>480.86099999999999</v>
      </c>
      <c r="D215" s="339">
        <v>935.53200000000004</v>
      </c>
      <c r="E215" s="92">
        <f>((13.965+10.68+13.965+10.68+10.68)*12*1.3)*1.12</f>
        <v>1047.7958400000002</v>
      </c>
      <c r="F215" s="92">
        <f t="shared" si="13"/>
        <v>261.94896000000006</v>
      </c>
      <c r="G215" s="92">
        <f t="shared" si="14"/>
        <v>261.94896000000006</v>
      </c>
      <c r="H215" s="92">
        <f t="shared" si="16"/>
        <v>261.94896000000006</v>
      </c>
      <c r="I215" s="92">
        <f t="shared" si="15"/>
        <v>261.94896000000006</v>
      </c>
      <c r="J215" s="91"/>
    </row>
    <row r="216" spans="1:10" x14ac:dyDescent="0.25">
      <c r="A216" s="108" t="s">
        <v>287</v>
      </c>
      <c r="B216" s="58">
        <v>7013</v>
      </c>
      <c r="C216" s="58">
        <v>605.90599999999995</v>
      </c>
      <c r="D216" s="339">
        <v>1178.7360000000001</v>
      </c>
      <c r="E216" s="92">
        <f>((18.89+18.89+18.89+18.89)*12*1.3)*1.12</f>
        <v>1320.1843200000003</v>
      </c>
      <c r="F216" s="92">
        <f t="shared" si="13"/>
        <v>330.04608000000007</v>
      </c>
      <c r="G216" s="92">
        <f t="shared" si="14"/>
        <v>330.04608000000007</v>
      </c>
      <c r="H216" s="92">
        <f t="shared" si="16"/>
        <v>330.04608000000007</v>
      </c>
      <c r="I216" s="92">
        <f t="shared" si="15"/>
        <v>330.04608000000007</v>
      </c>
      <c r="J216" s="91"/>
    </row>
    <row r="217" spans="1:10" x14ac:dyDescent="0.25">
      <c r="A217" s="108" t="s">
        <v>294</v>
      </c>
      <c r="B217" s="58">
        <v>7014</v>
      </c>
      <c r="C217" s="354">
        <f>C209-C210-C212-C213-C214-C215-C216</f>
        <v>28325.124</v>
      </c>
      <c r="D217" s="367">
        <f>D209-D210-D212-D213-D214-D215-D216</f>
        <v>55559.833000000006</v>
      </c>
      <c r="E217" s="23">
        <f>(E209-E210-E211)*1.12</f>
        <v>62865.155290112001</v>
      </c>
      <c r="F217" s="339">
        <f>E217/12</f>
        <v>5238.7629408426665</v>
      </c>
      <c r="G217" s="23">
        <f t="shared" si="14"/>
        <v>5238.7629408426665</v>
      </c>
      <c r="H217" s="339">
        <f t="shared" si="16"/>
        <v>5238.7629408426665</v>
      </c>
      <c r="I217" s="339">
        <f t="shared" si="15"/>
        <v>5238.7629408426665</v>
      </c>
      <c r="J217" s="22"/>
    </row>
    <row r="218" spans="1:10" ht="43.5" customHeight="1" x14ac:dyDescent="0.25">
      <c r="A218" s="46" t="s">
        <v>118</v>
      </c>
      <c r="B218" s="21">
        <v>7020</v>
      </c>
      <c r="C218" s="353">
        <f>C209/C200/12*1000</f>
        <v>11478.758169934641</v>
      </c>
      <c r="D218" s="339">
        <v>16043.811</v>
      </c>
      <c r="E218" s="339">
        <f>E209/E200/12*1000</f>
        <v>16539.063262347419</v>
      </c>
      <c r="F218" s="339">
        <f t="shared" ref="F218:F226" si="17">E218</f>
        <v>16539.063262347419</v>
      </c>
      <c r="G218" s="339">
        <f t="shared" si="14"/>
        <v>16539.063262347419</v>
      </c>
      <c r="H218" s="339">
        <f t="shared" si="16"/>
        <v>16539.063262347419</v>
      </c>
      <c r="I218" s="339">
        <f t="shared" si="15"/>
        <v>16539.063262347419</v>
      </c>
      <c r="J218" s="22"/>
    </row>
    <row r="219" spans="1:10" x14ac:dyDescent="0.25">
      <c r="A219" s="108" t="s">
        <v>289</v>
      </c>
      <c r="B219" s="58">
        <v>7021</v>
      </c>
      <c r="C219" s="355">
        <f>C210/12*1000</f>
        <v>48591.666666666672</v>
      </c>
      <c r="D219" s="356">
        <f>D210/12*1000</f>
        <v>57495.000000000007</v>
      </c>
      <c r="E219" s="92">
        <f>64.86*1000</f>
        <v>64860</v>
      </c>
      <c r="F219" s="92">
        <f t="shared" si="17"/>
        <v>64860</v>
      </c>
      <c r="G219" s="92">
        <f t="shared" ref="G219:G226" si="18">F219</f>
        <v>64860</v>
      </c>
      <c r="H219" s="92">
        <f t="shared" si="16"/>
        <v>64860</v>
      </c>
      <c r="I219" s="92">
        <f t="shared" ref="I219:I226" si="19">H219</f>
        <v>64860</v>
      </c>
      <c r="J219" s="91"/>
    </row>
    <row r="220" spans="1:10" ht="25.5" x14ac:dyDescent="0.25">
      <c r="A220" s="108" t="s">
        <v>288</v>
      </c>
      <c r="B220" s="58">
        <v>7022</v>
      </c>
      <c r="C220" s="355">
        <f t="shared" ref="C220:C226" si="20">C211/C202/12*1000</f>
        <v>12483.4859437751</v>
      </c>
      <c r="D220" s="340">
        <f t="shared" ref="D220:D226" si="21">D211/D202/12*1000</f>
        <v>24290.889558232931</v>
      </c>
      <c r="E220" s="340">
        <f t="shared" ref="E220:E226" si="22">E211/E202/12*1000</f>
        <v>27205.796305220891</v>
      </c>
      <c r="F220" s="340">
        <f t="shared" si="17"/>
        <v>27205.796305220891</v>
      </c>
      <c r="G220" s="340">
        <f t="shared" si="18"/>
        <v>27205.796305220891</v>
      </c>
      <c r="H220" s="340">
        <f t="shared" si="16"/>
        <v>27205.796305220891</v>
      </c>
      <c r="I220" s="340">
        <f t="shared" si="19"/>
        <v>27205.796305220891</v>
      </c>
      <c r="J220" s="91"/>
    </row>
    <row r="221" spans="1:10" x14ac:dyDescent="0.25">
      <c r="A221" s="109" t="s">
        <v>291</v>
      </c>
      <c r="B221" s="58" t="s">
        <v>303</v>
      </c>
      <c r="C221" s="355">
        <f t="shared" si="20"/>
        <v>15586.718750000002</v>
      </c>
      <c r="D221" s="340">
        <f t="shared" si="21"/>
        <v>30331.03125</v>
      </c>
      <c r="E221" s="340">
        <f t="shared" si="22"/>
        <v>33970.755000000005</v>
      </c>
      <c r="F221" s="340">
        <f t="shared" si="17"/>
        <v>33970.755000000005</v>
      </c>
      <c r="G221" s="340">
        <f t="shared" si="18"/>
        <v>33970.755000000005</v>
      </c>
      <c r="H221" s="340">
        <f t="shared" si="16"/>
        <v>33970.755000000005</v>
      </c>
      <c r="I221" s="340">
        <f t="shared" si="19"/>
        <v>33970.755000000005</v>
      </c>
      <c r="J221" s="22"/>
    </row>
    <row r="222" spans="1:10" x14ac:dyDescent="0.25">
      <c r="A222" s="109" t="s">
        <v>290</v>
      </c>
      <c r="B222" s="58" t="s">
        <v>304</v>
      </c>
      <c r="C222" s="355">
        <f t="shared" si="20"/>
        <v>11938.333333333334</v>
      </c>
      <c r="D222" s="340">
        <f t="shared" si="21"/>
        <v>23230.529761904763</v>
      </c>
      <c r="E222" s="340">
        <f t="shared" si="22"/>
        <v>26018.19333333334</v>
      </c>
      <c r="F222" s="340">
        <f t="shared" si="17"/>
        <v>26018.19333333334</v>
      </c>
      <c r="G222" s="340">
        <f t="shared" si="18"/>
        <v>26018.19333333334</v>
      </c>
      <c r="H222" s="340">
        <f t="shared" si="16"/>
        <v>26018.19333333334</v>
      </c>
      <c r="I222" s="340">
        <f t="shared" si="19"/>
        <v>26018.19333333334</v>
      </c>
      <c r="J222" s="22"/>
    </row>
    <row r="223" spans="1:10" x14ac:dyDescent="0.25">
      <c r="A223" s="109" t="s">
        <v>292</v>
      </c>
      <c r="B223" s="58" t="s">
        <v>305</v>
      </c>
      <c r="C223" s="355">
        <f t="shared" si="20"/>
        <v>7317.7222222222217</v>
      </c>
      <c r="D223" s="340">
        <f t="shared" si="21"/>
        <v>14239.333333333332</v>
      </c>
      <c r="E223" s="340">
        <f t="shared" si="22"/>
        <v>15948.053333333335</v>
      </c>
      <c r="F223" s="340">
        <f t="shared" si="17"/>
        <v>15948.053333333335</v>
      </c>
      <c r="G223" s="340">
        <f t="shared" si="18"/>
        <v>15948.053333333335</v>
      </c>
      <c r="H223" s="340">
        <f t="shared" si="16"/>
        <v>15948.053333333335</v>
      </c>
      <c r="I223" s="340">
        <f t="shared" si="19"/>
        <v>15948.053333333335</v>
      </c>
      <c r="J223" s="22"/>
    </row>
    <row r="224" spans="1:10" x14ac:dyDescent="0.25">
      <c r="A224" s="109" t="s">
        <v>293</v>
      </c>
      <c r="B224" s="58" t="s">
        <v>306</v>
      </c>
      <c r="C224" s="355">
        <f t="shared" si="20"/>
        <v>6678.625</v>
      </c>
      <c r="D224" s="340">
        <f t="shared" si="21"/>
        <v>12993.5</v>
      </c>
      <c r="E224" s="340">
        <f t="shared" si="22"/>
        <v>14552.720000000003</v>
      </c>
      <c r="F224" s="340">
        <f t="shared" si="17"/>
        <v>14552.720000000003</v>
      </c>
      <c r="G224" s="340">
        <f t="shared" si="18"/>
        <v>14552.720000000003</v>
      </c>
      <c r="H224" s="340">
        <f t="shared" si="16"/>
        <v>14552.720000000003</v>
      </c>
      <c r="I224" s="340">
        <f t="shared" si="19"/>
        <v>14552.720000000003</v>
      </c>
      <c r="J224" s="22"/>
    </row>
    <row r="225" spans="1:12" x14ac:dyDescent="0.25">
      <c r="A225" s="108" t="s">
        <v>287</v>
      </c>
      <c r="B225" s="58">
        <v>7023</v>
      </c>
      <c r="C225" s="355">
        <f t="shared" si="20"/>
        <v>12623.041666666666</v>
      </c>
      <c r="D225" s="340">
        <f t="shared" si="21"/>
        <v>24557.000000000004</v>
      </c>
      <c r="E225" s="340">
        <f t="shared" si="22"/>
        <v>27503.840000000007</v>
      </c>
      <c r="F225" s="340">
        <f t="shared" si="17"/>
        <v>27503.840000000007</v>
      </c>
      <c r="G225" s="340">
        <f t="shared" si="18"/>
        <v>27503.840000000007</v>
      </c>
      <c r="H225" s="340">
        <f t="shared" si="16"/>
        <v>27503.840000000007</v>
      </c>
      <c r="I225" s="340">
        <f t="shared" si="19"/>
        <v>27503.840000000007</v>
      </c>
      <c r="J225" s="22"/>
    </row>
    <row r="226" spans="1:12" x14ac:dyDescent="0.25">
      <c r="A226" s="108" t="s">
        <v>294</v>
      </c>
      <c r="B226" s="58">
        <v>7024</v>
      </c>
      <c r="C226" s="58">
        <f t="shared" si="20"/>
        <v>11107.891764705882</v>
      </c>
      <c r="D226" s="340">
        <f t="shared" si="21"/>
        <v>15032.42234848485</v>
      </c>
      <c r="E226" s="340">
        <f t="shared" si="22"/>
        <v>17008.970587151518</v>
      </c>
      <c r="F226" s="340">
        <f t="shared" si="17"/>
        <v>17008.970587151518</v>
      </c>
      <c r="G226" s="340">
        <f t="shared" si="18"/>
        <v>17008.970587151518</v>
      </c>
      <c r="H226" s="340">
        <f t="shared" si="16"/>
        <v>17008.970587151518</v>
      </c>
      <c r="I226" s="340">
        <f t="shared" si="19"/>
        <v>17008.970587151518</v>
      </c>
      <c r="J226" s="22"/>
    </row>
    <row r="227" spans="1:12" ht="25.5" x14ac:dyDescent="0.25">
      <c r="A227" s="25" t="s">
        <v>119</v>
      </c>
      <c r="B227" s="21">
        <v>7030</v>
      </c>
      <c r="C227" s="90">
        <v>0</v>
      </c>
      <c r="D227" s="356">
        <v>0</v>
      </c>
      <c r="E227" s="308">
        <v>0</v>
      </c>
      <c r="F227" s="23">
        <v>0</v>
      </c>
      <c r="G227" s="23">
        <v>0</v>
      </c>
      <c r="H227" s="23">
        <v>0</v>
      </c>
      <c r="I227" s="23">
        <v>0</v>
      </c>
      <c r="J227" s="22"/>
    </row>
    <row r="228" spans="1:12" ht="25.5" x14ac:dyDescent="0.25">
      <c r="A228" s="61" t="s">
        <v>120</v>
      </c>
      <c r="B228" s="48"/>
      <c r="C228" s="48">
        <v>10.6</v>
      </c>
      <c r="D228" s="360">
        <v>19</v>
      </c>
      <c r="E228" s="360">
        <v>19</v>
      </c>
      <c r="F228" s="360">
        <f>E228/4</f>
        <v>4.75</v>
      </c>
      <c r="G228" s="360">
        <f>F228</f>
        <v>4.75</v>
      </c>
      <c r="H228" s="360">
        <f>F228</f>
        <v>4.75</v>
      </c>
      <c r="I228" s="360">
        <f>H228</f>
        <v>4.75</v>
      </c>
      <c r="J228" s="37"/>
    </row>
    <row r="229" spans="1:12" ht="25.5" x14ac:dyDescent="0.25">
      <c r="A229" s="103" t="s">
        <v>313</v>
      </c>
      <c r="B229" s="37">
        <v>7040</v>
      </c>
      <c r="C229" s="37">
        <v>0</v>
      </c>
      <c r="D229" s="360">
        <v>0</v>
      </c>
      <c r="E229" s="360">
        <v>0</v>
      </c>
      <c r="F229" s="360">
        <v>0</v>
      </c>
      <c r="G229" s="360">
        <v>0</v>
      </c>
      <c r="H229" s="360">
        <v>0</v>
      </c>
      <c r="I229" s="360">
        <v>0</v>
      </c>
      <c r="J229" s="37"/>
    </row>
    <row r="230" spans="1:12" x14ac:dyDescent="0.25">
      <c r="A230" s="104" t="s">
        <v>307</v>
      </c>
      <c r="B230" s="39">
        <v>7041</v>
      </c>
      <c r="C230" s="39">
        <v>0</v>
      </c>
      <c r="D230" s="360">
        <v>0</v>
      </c>
      <c r="E230" s="360">
        <v>0</v>
      </c>
      <c r="F230" s="362">
        <v>0</v>
      </c>
      <c r="G230" s="362">
        <v>0</v>
      </c>
      <c r="H230" s="362">
        <v>0</v>
      </c>
      <c r="I230" s="362">
        <v>0</v>
      </c>
      <c r="J230" s="37"/>
    </row>
    <row r="231" spans="1:12" ht="26.25" x14ac:dyDescent="0.25">
      <c r="A231" s="105" t="s">
        <v>308</v>
      </c>
      <c r="B231" s="39">
        <v>7042</v>
      </c>
      <c r="C231" s="39">
        <v>0</v>
      </c>
      <c r="D231" s="360">
        <v>0</v>
      </c>
      <c r="E231" s="360">
        <v>0</v>
      </c>
      <c r="F231" s="363">
        <v>0</v>
      </c>
      <c r="G231" s="363">
        <v>0</v>
      </c>
      <c r="H231" s="363">
        <v>0</v>
      </c>
      <c r="I231" s="363">
        <v>0</v>
      </c>
      <c r="J231" s="37"/>
    </row>
    <row r="232" spans="1:12" ht="30.75" customHeight="1" x14ac:dyDescent="0.25">
      <c r="A232" s="105" t="s">
        <v>309</v>
      </c>
      <c r="B232" s="39">
        <v>7043</v>
      </c>
      <c r="C232" s="39">
        <v>0</v>
      </c>
      <c r="D232" s="360">
        <v>0</v>
      </c>
      <c r="E232" s="360">
        <v>0</v>
      </c>
      <c r="F232" s="360">
        <v>0</v>
      </c>
      <c r="G232" s="360">
        <v>0</v>
      </c>
      <c r="H232" s="360">
        <v>0</v>
      </c>
      <c r="I232" s="360">
        <v>0</v>
      </c>
      <c r="J232" s="37"/>
    </row>
    <row r="233" spans="1:12" x14ac:dyDescent="0.25">
      <c r="A233" s="105" t="s">
        <v>310</v>
      </c>
      <c r="B233" s="39">
        <v>7044</v>
      </c>
      <c r="C233" s="39">
        <v>0</v>
      </c>
      <c r="D233" s="360">
        <v>0</v>
      </c>
      <c r="E233" s="360">
        <v>0</v>
      </c>
      <c r="F233" s="360">
        <v>0</v>
      </c>
      <c r="G233" s="360">
        <v>0</v>
      </c>
      <c r="H233" s="360">
        <v>0</v>
      </c>
      <c r="I233" s="360">
        <v>0</v>
      </c>
      <c r="J233" s="37"/>
    </row>
    <row r="234" spans="1:12" x14ac:dyDescent="0.25">
      <c r="A234" s="105" t="s">
        <v>311</v>
      </c>
      <c r="B234" s="39">
        <v>7045</v>
      </c>
      <c r="C234" s="39">
        <v>10.6</v>
      </c>
      <c r="D234" s="360">
        <v>19</v>
      </c>
      <c r="E234" s="360">
        <v>19</v>
      </c>
      <c r="F234" s="360">
        <f>E234/4</f>
        <v>4.75</v>
      </c>
      <c r="G234" s="360">
        <f>F234</f>
        <v>4.75</v>
      </c>
      <c r="H234" s="360">
        <f>G234</f>
        <v>4.75</v>
      </c>
      <c r="I234" s="360">
        <f>H234</f>
        <v>4.75</v>
      </c>
      <c r="J234" s="37"/>
    </row>
    <row r="235" spans="1:12" x14ac:dyDescent="0.25">
      <c r="A235" s="105" t="s">
        <v>312</v>
      </c>
      <c r="B235" s="39">
        <v>7046</v>
      </c>
      <c r="C235" s="39">
        <v>0</v>
      </c>
      <c r="D235" s="360">
        <v>0</v>
      </c>
      <c r="E235" s="360">
        <v>0</v>
      </c>
      <c r="F235" s="360"/>
      <c r="G235" s="360"/>
      <c r="H235" s="360"/>
      <c r="I235" s="360"/>
      <c r="J235" s="37"/>
    </row>
    <row r="236" spans="1:12" ht="26.25" x14ac:dyDescent="0.25">
      <c r="A236" s="30" t="s">
        <v>318</v>
      </c>
      <c r="B236" s="37">
        <v>7050</v>
      </c>
      <c r="C236" s="37">
        <v>0</v>
      </c>
      <c r="D236" s="360">
        <v>0</v>
      </c>
      <c r="E236" s="360">
        <v>0</v>
      </c>
      <c r="F236" s="360">
        <v>0</v>
      </c>
      <c r="G236" s="360">
        <v>0</v>
      </c>
      <c r="H236" s="360">
        <v>0</v>
      </c>
      <c r="I236" s="360">
        <v>0</v>
      </c>
      <c r="J236" s="37"/>
    </row>
    <row r="237" spans="1:12" ht="39" x14ac:dyDescent="0.25">
      <c r="A237" s="104" t="s">
        <v>314</v>
      </c>
      <c r="B237" s="39">
        <v>7051</v>
      </c>
      <c r="C237" s="39">
        <v>0</v>
      </c>
      <c r="D237" s="360">
        <v>0</v>
      </c>
      <c r="E237" s="360">
        <v>0</v>
      </c>
      <c r="F237" s="360">
        <v>0</v>
      </c>
      <c r="G237" s="360">
        <v>0</v>
      </c>
      <c r="H237" s="360">
        <v>0</v>
      </c>
      <c r="I237" s="360">
        <v>0</v>
      </c>
      <c r="J237" s="37"/>
      <c r="L237">
        <f>19*100/68349.636</f>
        <v>2.7798246065275315E-2</v>
      </c>
    </row>
    <row r="238" spans="1:12" x14ac:dyDescent="0.25">
      <c r="A238" s="104" t="s">
        <v>315</v>
      </c>
      <c r="B238" s="39">
        <v>7052</v>
      </c>
      <c r="C238" s="39">
        <v>0</v>
      </c>
      <c r="D238" s="360">
        <v>0</v>
      </c>
      <c r="E238" s="360">
        <v>0</v>
      </c>
      <c r="F238" s="360">
        <v>0</v>
      </c>
      <c r="G238" s="360">
        <v>0</v>
      </c>
      <c r="H238" s="360">
        <v>0</v>
      </c>
      <c r="I238" s="360">
        <v>0</v>
      </c>
      <c r="J238" s="37"/>
    </row>
    <row r="239" spans="1:12" x14ac:dyDescent="0.25">
      <c r="A239" s="104" t="s">
        <v>316</v>
      </c>
      <c r="B239" s="39">
        <v>7053</v>
      </c>
      <c r="C239" s="39">
        <v>0</v>
      </c>
      <c r="D239" s="360">
        <v>0</v>
      </c>
      <c r="E239" s="360">
        <v>0</v>
      </c>
      <c r="F239" s="360">
        <v>0</v>
      </c>
      <c r="G239" s="360">
        <v>0</v>
      </c>
      <c r="H239" s="360">
        <v>0</v>
      </c>
      <c r="I239" s="360">
        <v>0</v>
      </c>
      <c r="J239" s="37"/>
    </row>
    <row r="240" spans="1:12" x14ac:dyDescent="0.25">
      <c r="A240" s="104" t="s">
        <v>317</v>
      </c>
      <c r="B240" s="39">
        <v>7054</v>
      </c>
      <c r="C240" s="39">
        <v>0</v>
      </c>
      <c r="D240" s="360">
        <v>0</v>
      </c>
      <c r="E240" s="360">
        <v>0</v>
      </c>
      <c r="F240" s="360">
        <v>0</v>
      </c>
      <c r="G240" s="360">
        <v>0</v>
      </c>
      <c r="H240" s="360">
        <v>0</v>
      </c>
      <c r="I240" s="360">
        <v>0</v>
      </c>
      <c r="J240" s="37"/>
    </row>
    <row r="241" spans="1:10" ht="25.5" customHeight="1" x14ac:dyDescent="0.25">
      <c r="A241" s="30" t="s">
        <v>321</v>
      </c>
      <c r="B241" s="37">
        <v>7060</v>
      </c>
      <c r="C241" s="48">
        <f>C242</f>
        <v>8495.2000000000007</v>
      </c>
      <c r="D241" s="349">
        <f t="shared" ref="D241:I241" si="23">D242</f>
        <v>15036.26</v>
      </c>
      <c r="E241" s="349">
        <f t="shared" si="23"/>
        <v>15500.410089472001</v>
      </c>
      <c r="F241" s="349">
        <f t="shared" si="23"/>
        <v>4133.7014789670839</v>
      </c>
      <c r="G241" s="349">
        <f t="shared" si="23"/>
        <v>3679.3951669537696</v>
      </c>
      <c r="H241" s="349">
        <f t="shared" si="23"/>
        <v>3792.5825324339658</v>
      </c>
      <c r="I241" s="349">
        <f t="shared" si="23"/>
        <v>3894.7308401746527</v>
      </c>
      <c r="J241" s="37"/>
    </row>
    <row r="242" spans="1:10" ht="22.5" customHeight="1" x14ac:dyDescent="0.25">
      <c r="A242" s="104" t="s">
        <v>319</v>
      </c>
      <c r="B242" s="39">
        <v>7061</v>
      </c>
      <c r="C242" s="37">
        <v>8495.2000000000007</v>
      </c>
      <c r="D242" s="361">
        <f t="shared" ref="D242:I242" si="24">D135</f>
        <v>15036.26</v>
      </c>
      <c r="E242" s="361">
        <f t="shared" si="24"/>
        <v>15500.410089472001</v>
      </c>
      <c r="F242" s="361">
        <f t="shared" si="24"/>
        <v>4133.7014789670839</v>
      </c>
      <c r="G242" s="361">
        <f t="shared" si="24"/>
        <v>3679.3951669537696</v>
      </c>
      <c r="H242" s="361">
        <f t="shared" si="24"/>
        <v>3792.5825324339658</v>
      </c>
      <c r="I242" s="361">
        <f t="shared" si="24"/>
        <v>3894.7308401746527</v>
      </c>
      <c r="J242" s="37"/>
    </row>
    <row r="243" spans="1:10" x14ac:dyDescent="0.25">
      <c r="A243" s="102" t="s">
        <v>322</v>
      </c>
      <c r="B243" s="37">
        <v>7070</v>
      </c>
      <c r="C243" s="48">
        <f>C245+C248</f>
        <v>7852.4</v>
      </c>
      <c r="D243" s="48">
        <v>13327.59</v>
      </c>
      <c r="E243" s="349">
        <f>E245+E248</f>
        <v>13738.999852032</v>
      </c>
      <c r="F243" s="372">
        <f>F244</f>
        <v>3476.24784</v>
      </c>
      <c r="G243" s="372">
        <f>G244</f>
        <v>3163.6250100000002</v>
      </c>
      <c r="H243" s="372">
        <f>H244</f>
        <v>3260.9459999999999</v>
      </c>
      <c r="I243" s="372">
        <f>I244</f>
        <v>3348.7753649999995</v>
      </c>
      <c r="J243" s="37"/>
    </row>
    <row r="244" spans="1:10" x14ac:dyDescent="0.25">
      <c r="A244" s="104" t="s">
        <v>323</v>
      </c>
      <c r="B244" s="39">
        <v>7071</v>
      </c>
      <c r="C244" s="39">
        <v>7852.4</v>
      </c>
      <c r="D244" s="361">
        <v>13327.59</v>
      </c>
      <c r="E244" s="361">
        <f>E245+E248</f>
        <v>13738.999852032</v>
      </c>
      <c r="F244" s="361">
        <f>F245+F248</f>
        <v>3476.24784</v>
      </c>
      <c r="G244" s="361">
        <f>G245+G248</f>
        <v>3163.6250100000002</v>
      </c>
      <c r="H244" s="361">
        <f>H245+H248</f>
        <v>3260.9459999999999</v>
      </c>
      <c r="I244" s="361">
        <f>I245+I248</f>
        <v>3348.7753649999995</v>
      </c>
      <c r="J244" s="37"/>
    </row>
    <row r="245" spans="1:10" x14ac:dyDescent="0.25">
      <c r="A245" s="107" t="s">
        <v>121</v>
      </c>
      <c r="B245" s="39" t="s">
        <v>324</v>
      </c>
      <c r="C245" s="39">
        <v>7251.4</v>
      </c>
      <c r="D245" s="361">
        <v>12302.39</v>
      </c>
      <c r="E245" s="361">
        <f>E209*0.18</f>
        <v>12682.153709568</v>
      </c>
      <c r="F245" s="361">
        <f>F209*0.18</f>
        <v>3208.8441600000001</v>
      </c>
      <c r="G245" s="361">
        <f>G209*0.18</f>
        <v>2920.2692400000001</v>
      </c>
      <c r="H245" s="361">
        <f>H209*0.18</f>
        <v>3010.1039999999998</v>
      </c>
      <c r="I245" s="361">
        <f>I209*0.18</f>
        <v>3091.1772599999995</v>
      </c>
      <c r="J245" s="321"/>
    </row>
    <row r="246" spans="1:10" x14ac:dyDescent="0.25">
      <c r="A246" s="107" t="s">
        <v>122</v>
      </c>
      <c r="B246" s="39" t="s">
        <v>325</v>
      </c>
      <c r="C246" s="39">
        <v>0</v>
      </c>
      <c r="D246" s="360">
        <v>0</v>
      </c>
      <c r="E246" s="360">
        <v>0</v>
      </c>
      <c r="F246" s="360">
        <v>0</v>
      </c>
      <c r="G246" s="360">
        <v>0</v>
      </c>
      <c r="H246" s="360">
        <v>0</v>
      </c>
      <c r="I246" s="360">
        <v>0</v>
      </c>
      <c r="J246" s="37"/>
    </row>
    <row r="247" spans="1:10" x14ac:dyDescent="0.25">
      <c r="A247" s="107" t="s">
        <v>123</v>
      </c>
      <c r="B247" s="39" t="s">
        <v>326</v>
      </c>
      <c r="C247" s="39">
        <v>0</v>
      </c>
      <c r="D247" s="360">
        <v>0</v>
      </c>
      <c r="E247" s="360">
        <v>0</v>
      </c>
      <c r="F247" s="360">
        <v>0</v>
      </c>
      <c r="G247" s="360">
        <v>0</v>
      </c>
      <c r="H247" s="360">
        <v>0</v>
      </c>
      <c r="I247" s="360">
        <v>0</v>
      </c>
      <c r="J247" s="37"/>
    </row>
    <row r="248" spans="1:10" x14ac:dyDescent="0.25">
      <c r="A248" s="107" t="s">
        <v>674</v>
      </c>
      <c r="B248" s="39" t="s">
        <v>327</v>
      </c>
      <c r="C248" s="39">
        <v>601</v>
      </c>
      <c r="D248" s="360">
        <v>1025.2</v>
      </c>
      <c r="E248" s="361">
        <f>E209*0.015</f>
        <v>1056.846142464</v>
      </c>
      <c r="F248" s="361">
        <f>F209*0.015</f>
        <v>267.40368000000001</v>
      </c>
      <c r="G248" s="361">
        <f>G209*0.015</f>
        <v>243.35577000000001</v>
      </c>
      <c r="H248" s="361">
        <f>H209*0.015</f>
        <v>250.84199999999998</v>
      </c>
      <c r="I248" s="361">
        <f>I209*0.015</f>
        <v>257.59810499999998</v>
      </c>
      <c r="J248" s="37"/>
    </row>
    <row r="249" spans="1:10" x14ac:dyDescent="0.25">
      <c r="A249" s="106" t="s">
        <v>320</v>
      </c>
      <c r="B249" s="39">
        <v>7072</v>
      </c>
      <c r="C249" s="39">
        <v>0</v>
      </c>
      <c r="D249" s="360">
        <v>0</v>
      </c>
      <c r="E249" s="360">
        <v>0</v>
      </c>
      <c r="F249" s="360">
        <v>0</v>
      </c>
      <c r="G249" s="360">
        <v>0</v>
      </c>
      <c r="H249" s="360">
        <v>0</v>
      </c>
      <c r="I249" s="360">
        <v>0</v>
      </c>
      <c r="J249" s="37"/>
    </row>
    <row r="250" spans="1:10" x14ac:dyDescent="0.25">
      <c r="A250" s="24" t="s">
        <v>125</v>
      </c>
      <c r="B250" s="45"/>
      <c r="C250" s="45">
        <v>0</v>
      </c>
      <c r="D250" s="360">
        <v>0</v>
      </c>
      <c r="E250" s="360">
        <v>0</v>
      </c>
      <c r="F250" s="360">
        <v>0</v>
      </c>
      <c r="G250" s="360">
        <v>0</v>
      </c>
      <c r="H250" s="360">
        <v>0</v>
      </c>
      <c r="I250" s="360">
        <v>0</v>
      </c>
      <c r="J250" s="37"/>
    </row>
    <row r="251" spans="1:10" x14ac:dyDescent="0.25">
      <c r="A251" s="25" t="s">
        <v>126</v>
      </c>
      <c r="B251" s="45">
        <v>7070</v>
      </c>
      <c r="C251" s="45">
        <v>33633</v>
      </c>
      <c r="D251" s="360">
        <v>28011</v>
      </c>
      <c r="E251" s="360">
        <v>35700</v>
      </c>
      <c r="F251" s="360">
        <f>E251</f>
        <v>35700</v>
      </c>
      <c r="G251" s="360">
        <f>F251</f>
        <v>35700</v>
      </c>
      <c r="H251" s="360">
        <f>G251</f>
        <v>35700</v>
      </c>
      <c r="I251" s="360">
        <f>H251</f>
        <v>35700</v>
      </c>
      <c r="J251" s="37"/>
    </row>
    <row r="252" spans="1:10" x14ac:dyDescent="0.25">
      <c r="A252" s="25" t="s">
        <v>127</v>
      </c>
      <c r="B252" s="45">
        <v>7080</v>
      </c>
      <c r="C252" s="45">
        <v>211</v>
      </c>
      <c r="D252" s="360">
        <v>215</v>
      </c>
      <c r="E252" s="360">
        <v>218</v>
      </c>
      <c r="F252" s="360"/>
      <c r="G252" s="360"/>
      <c r="H252" s="360"/>
      <c r="I252" s="360"/>
      <c r="J252" s="37"/>
    </row>
    <row r="253" spans="1:10" x14ac:dyDescent="0.25">
      <c r="A253" s="47" t="s">
        <v>128</v>
      </c>
      <c r="B253" s="45">
        <v>7090</v>
      </c>
      <c r="C253" s="186">
        <v>100004</v>
      </c>
      <c r="D253" s="48">
        <v>99657</v>
      </c>
      <c r="E253" s="48">
        <v>114844</v>
      </c>
      <c r="F253" s="48">
        <f>E253</f>
        <v>114844</v>
      </c>
      <c r="G253" s="48">
        <f>F253</f>
        <v>114844</v>
      </c>
      <c r="H253" s="48">
        <f>G253</f>
        <v>114844</v>
      </c>
      <c r="I253" s="48">
        <f>H253</f>
        <v>114844</v>
      </c>
      <c r="J253" s="37"/>
    </row>
    <row r="254" spans="1:10" ht="25.5" x14ac:dyDescent="0.25">
      <c r="A254" s="64" t="s">
        <v>679</v>
      </c>
      <c r="B254" s="65"/>
      <c r="C254" s="164"/>
      <c r="D254" s="398"/>
      <c r="E254" s="398"/>
      <c r="F254" s="66"/>
      <c r="G254" s="399" t="s">
        <v>498</v>
      </c>
      <c r="H254" s="399"/>
      <c r="I254" s="399"/>
      <c r="J254" s="63"/>
    </row>
    <row r="255" spans="1:10" x14ac:dyDescent="0.25">
      <c r="A255" s="67" t="s">
        <v>129</v>
      </c>
      <c r="B255" s="1"/>
      <c r="C255" s="88" t="s">
        <v>361</v>
      </c>
      <c r="D255" s="400"/>
      <c r="E255" s="400"/>
      <c r="F255" s="69"/>
      <c r="G255" s="401" t="s">
        <v>130</v>
      </c>
      <c r="H255" s="401"/>
      <c r="I255" s="401"/>
      <c r="J255" s="63"/>
    </row>
    <row r="256" spans="1:10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3"/>
    </row>
    <row r="257" spans="1:10" ht="26.25" x14ac:dyDescent="0.25">
      <c r="A257" s="75" t="s">
        <v>678</v>
      </c>
      <c r="B257" s="62"/>
      <c r="C257" s="62"/>
      <c r="D257" s="62"/>
      <c r="E257" s="62"/>
      <c r="F257" s="62"/>
      <c r="G257" s="62"/>
      <c r="H257" s="62"/>
      <c r="I257" s="62"/>
      <c r="J257" s="63"/>
    </row>
    <row r="259" spans="1:10" ht="30" x14ac:dyDescent="0.25">
      <c r="A259" s="261" t="s">
        <v>469</v>
      </c>
      <c r="G259" s="396" t="s">
        <v>470</v>
      </c>
      <c r="H259" s="396"/>
      <c r="I259" s="396"/>
    </row>
    <row r="267" spans="1:10" x14ac:dyDescent="0.25">
      <c r="G267">
        <f>7194.53*100/9265.68</f>
        <v>77.647080408561479</v>
      </c>
    </row>
    <row r="268" spans="1:10" x14ac:dyDescent="0.25">
      <c r="G268">
        <f>7794.07*100/9265.68</f>
        <v>84.117625473791449</v>
      </c>
    </row>
  </sheetData>
  <mergeCells count="66">
    <mergeCell ref="H2:I2"/>
    <mergeCell ref="H4:J4"/>
    <mergeCell ref="H5:J5"/>
    <mergeCell ref="H7:J7"/>
    <mergeCell ref="I9:J9"/>
    <mergeCell ref="I10:J10"/>
    <mergeCell ref="I11:J11"/>
    <mergeCell ref="H12:J12"/>
    <mergeCell ref="I16:J16"/>
    <mergeCell ref="B17:E17"/>
    <mergeCell ref="I17:J17"/>
    <mergeCell ref="A14:G14"/>
    <mergeCell ref="I14:J14"/>
    <mergeCell ref="B15:E15"/>
    <mergeCell ref="I15:J15"/>
    <mergeCell ref="B16:E16"/>
    <mergeCell ref="B13:E13"/>
    <mergeCell ref="H13:J13"/>
    <mergeCell ref="B18:E18"/>
    <mergeCell ref="I18:J18"/>
    <mergeCell ref="B19:E19"/>
    <mergeCell ref="I19:J19"/>
    <mergeCell ref="B20:E20"/>
    <mergeCell ref="F20:H20"/>
    <mergeCell ref="I20:J20"/>
    <mergeCell ref="A32:J32"/>
    <mergeCell ref="A33:J33"/>
    <mergeCell ref="I28:J28"/>
    <mergeCell ref="A72:J72"/>
    <mergeCell ref="A25:E25"/>
    <mergeCell ref="B21:E21"/>
    <mergeCell ref="F21:H21"/>
    <mergeCell ref="I21:J21"/>
    <mergeCell ref="B22:E22"/>
    <mergeCell ref="I22:J22"/>
    <mergeCell ref="G259:I259"/>
    <mergeCell ref="A189:J189"/>
    <mergeCell ref="A198:J198"/>
    <mergeCell ref="D254:E254"/>
    <mergeCell ref="G254:I254"/>
    <mergeCell ref="D255:E255"/>
    <mergeCell ref="G255:I255"/>
    <mergeCell ref="A145:J145"/>
    <mergeCell ref="C29:C30"/>
    <mergeCell ref="A173:J173"/>
    <mergeCell ref="I23:J23"/>
    <mergeCell ref="B24:E24"/>
    <mergeCell ref="I24:J24"/>
    <mergeCell ref="A162:J162"/>
    <mergeCell ref="I25:J25"/>
    <mergeCell ref="A27:I27"/>
    <mergeCell ref="A29:A30"/>
    <mergeCell ref="B29:B30"/>
    <mergeCell ref="D29:D30"/>
    <mergeCell ref="E29:E30"/>
    <mergeCell ref="F29:I29"/>
    <mergeCell ref="A132:J132"/>
    <mergeCell ref="J29:J30"/>
    <mergeCell ref="S12:U12"/>
    <mergeCell ref="V12:X12"/>
    <mergeCell ref="Y12:AA12"/>
    <mergeCell ref="AB12:AD12"/>
    <mergeCell ref="S24:U24"/>
    <mergeCell ref="V24:X24"/>
    <mergeCell ref="Y24:AA24"/>
    <mergeCell ref="AB24:AD24"/>
  </mergeCells>
  <pageMargins left="0.51" right="0" top="0" bottom="0" header="0.31496062992125984" footer="0.31496062992125984"/>
  <pageSetup paperSize="9" scale="3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10" workbookViewId="0">
      <selection sqref="A1:L20"/>
    </sheetView>
  </sheetViews>
  <sheetFormatPr defaultRowHeight="15" x14ac:dyDescent="0.25"/>
  <cols>
    <col min="1" max="1" width="5" customWidth="1"/>
    <col min="2" max="2" width="14.5703125" customWidth="1"/>
    <col min="3" max="3" width="11" customWidth="1"/>
    <col min="4" max="4" width="12.140625" customWidth="1"/>
    <col min="5" max="5" width="11.28515625" customWidth="1"/>
    <col min="6" max="6" width="11.42578125" customWidth="1"/>
    <col min="7" max="7" width="12.140625" customWidth="1"/>
    <col min="8" max="8" width="12.7109375" customWidth="1"/>
    <col min="9" max="9" width="13" customWidth="1"/>
    <col min="10" max="10" width="12.28515625" customWidth="1"/>
    <col min="11" max="11" width="12.85546875" customWidth="1"/>
    <col min="12" max="12" width="14.28515625" customWidth="1"/>
  </cols>
  <sheetData>
    <row r="1" spans="1:16" x14ac:dyDescent="0.25">
      <c r="A1" s="74"/>
      <c r="B1" s="74"/>
      <c r="C1" s="74"/>
      <c r="D1" s="74"/>
      <c r="E1" s="74"/>
      <c r="F1" s="74"/>
      <c r="G1" s="74"/>
      <c r="H1" s="74"/>
      <c r="I1" s="74"/>
      <c r="J1" s="439" t="s">
        <v>484</v>
      </c>
      <c r="K1" s="439"/>
      <c r="L1" s="439"/>
      <c r="M1" s="74"/>
      <c r="N1" s="74"/>
      <c r="O1" s="74"/>
      <c r="P1" s="74"/>
    </row>
    <row r="2" spans="1:16" x14ac:dyDescent="0.25">
      <c r="A2" s="74"/>
      <c r="B2" s="74"/>
      <c r="C2" s="74"/>
      <c r="D2" s="74"/>
      <c r="E2" s="74"/>
      <c r="F2" s="74"/>
      <c r="G2" s="74"/>
      <c r="H2" s="74"/>
      <c r="I2" s="74"/>
      <c r="J2" s="448" t="s">
        <v>445</v>
      </c>
      <c r="K2" s="448"/>
      <c r="L2" s="448"/>
      <c r="M2" s="74"/>
      <c r="N2" s="74"/>
      <c r="O2" s="74"/>
      <c r="P2" s="74"/>
    </row>
    <row r="3" spans="1:16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18.75" customHeight="1" x14ac:dyDescent="0.25">
      <c r="A4" s="466" t="s">
        <v>353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74"/>
      <c r="N4" s="74"/>
      <c r="O4" s="74"/>
      <c r="P4" s="74"/>
    </row>
    <row r="5" spans="1:16" ht="24.75" customHeight="1" x14ac:dyDescent="0.25">
      <c r="A5" s="471" t="s">
        <v>511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74"/>
      <c r="N5" s="74"/>
      <c r="O5" s="74"/>
      <c r="P5" s="74"/>
    </row>
    <row r="6" spans="1:16" x14ac:dyDescent="0.25">
      <c r="A6" s="428" t="s">
        <v>134</v>
      </c>
      <c r="B6" s="428" t="s">
        <v>354</v>
      </c>
      <c r="C6" s="428" t="s">
        <v>357</v>
      </c>
      <c r="D6" s="428"/>
      <c r="E6" s="428"/>
      <c r="F6" s="428"/>
      <c r="G6" s="428"/>
      <c r="H6" s="428"/>
      <c r="I6" s="428"/>
      <c r="J6" s="428"/>
      <c r="K6" s="428"/>
      <c r="L6" s="428"/>
      <c r="M6" s="74"/>
      <c r="N6" s="74"/>
      <c r="O6" s="74"/>
      <c r="P6" s="74"/>
    </row>
    <row r="7" spans="1:16" ht="27.75" customHeight="1" x14ac:dyDescent="0.25">
      <c r="A7" s="428"/>
      <c r="B7" s="428"/>
      <c r="C7" s="470" t="s">
        <v>80</v>
      </c>
      <c r="D7" s="470"/>
      <c r="E7" s="470" t="s">
        <v>358</v>
      </c>
      <c r="F7" s="470"/>
      <c r="G7" s="470" t="s">
        <v>359</v>
      </c>
      <c r="H7" s="470"/>
      <c r="I7" s="470" t="s">
        <v>44</v>
      </c>
      <c r="J7" s="470"/>
      <c r="K7" s="470" t="s">
        <v>76</v>
      </c>
      <c r="L7" s="470"/>
      <c r="M7" s="74"/>
      <c r="N7" s="74"/>
      <c r="O7" s="74"/>
      <c r="P7" s="74"/>
    </row>
    <row r="8" spans="1:16" ht="38.25" x14ac:dyDescent="0.25">
      <c r="A8" s="428"/>
      <c r="B8" s="428"/>
      <c r="C8" s="146" t="s">
        <v>355</v>
      </c>
      <c r="D8" s="146" t="s">
        <v>356</v>
      </c>
      <c r="E8" s="146" t="s">
        <v>355</v>
      </c>
      <c r="F8" s="146" t="s">
        <v>356</v>
      </c>
      <c r="G8" s="146" t="s">
        <v>355</v>
      </c>
      <c r="H8" s="146" t="s">
        <v>356</v>
      </c>
      <c r="I8" s="146" t="s">
        <v>355</v>
      </c>
      <c r="J8" s="146" t="s">
        <v>356</v>
      </c>
      <c r="K8" s="146" t="s">
        <v>355</v>
      </c>
      <c r="L8" s="146" t="s">
        <v>356</v>
      </c>
      <c r="M8" s="74"/>
      <c r="N8" s="74"/>
      <c r="O8" s="74"/>
      <c r="P8" s="74"/>
    </row>
    <row r="9" spans="1:16" x14ac:dyDescent="0.25">
      <c r="A9" s="94">
        <v>1</v>
      </c>
      <c r="B9" s="94">
        <v>2</v>
      </c>
      <c r="C9" s="94">
        <v>3</v>
      </c>
      <c r="D9" s="94">
        <v>4</v>
      </c>
      <c r="E9" s="94">
        <v>5</v>
      </c>
      <c r="F9" s="94">
        <v>6</v>
      </c>
      <c r="G9" s="94">
        <v>7</v>
      </c>
      <c r="H9" s="94">
        <v>8</v>
      </c>
      <c r="I9" s="94">
        <v>9</v>
      </c>
      <c r="J9" s="94">
        <v>10</v>
      </c>
      <c r="K9" s="94">
        <v>11</v>
      </c>
      <c r="L9" s="94">
        <v>12</v>
      </c>
      <c r="M9" s="74"/>
      <c r="N9" s="74"/>
      <c r="O9" s="74"/>
      <c r="P9" s="74"/>
    </row>
    <row r="10" spans="1:16" ht="25.5" x14ac:dyDescent="0.25">
      <c r="A10" s="94">
        <v>1</v>
      </c>
      <c r="B10" s="94" t="s">
        <v>481</v>
      </c>
      <c r="C10" s="94">
        <v>6690.84</v>
      </c>
      <c r="D10" s="94">
        <v>0</v>
      </c>
      <c r="E10" s="94">
        <v>1471.98</v>
      </c>
      <c r="F10" s="94">
        <v>0</v>
      </c>
      <c r="G10" s="94">
        <v>3509.81</v>
      </c>
      <c r="H10" s="94">
        <v>0</v>
      </c>
      <c r="I10" s="94">
        <v>45.67</v>
      </c>
      <c r="J10" s="94">
        <v>0</v>
      </c>
      <c r="K10" s="94">
        <v>10163.379999999999</v>
      </c>
      <c r="L10" s="94">
        <v>0</v>
      </c>
      <c r="M10" s="74"/>
      <c r="N10" s="74"/>
      <c r="O10" s="74"/>
      <c r="P10" s="74"/>
    </row>
    <row r="11" spans="1:16" ht="25.5" x14ac:dyDescent="0.25">
      <c r="A11" s="94">
        <v>2</v>
      </c>
      <c r="B11" s="94" t="s">
        <v>482</v>
      </c>
      <c r="C11" s="94">
        <v>45428.925000000003</v>
      </c>
      <c r="D11" s="94">
        <v>0</v>
      </c>
      <c r="E11" s="94">
        <f>C11*0.22</f>
        <v>9994.3635000000013</v>
      </c>
      <c r="F11" s="94">
        <v>0</v>
      </c>
      <c r="G11" s="94">
        <v>379.63</v>
      </c>
      <c r="H11" s="94">
        <v>0</v>
      </c>
      <c r="I11" s="94">
        <f>25.7+4618.83</f>
        <v>4644.53</v>
      </c>
      <c r="J11" s="94">
        <v>0</v>
      </c>
      <c r="K11" s="94">
        <v>374.79</v>
      </c>
      <c r="L11" s="94">
        <v>0</v>
      </c>
      <c r="M11" s="74"/>
      <c r="N11" s="74"/>
      <c r="O11" s="74"/>
      <c r="P11" s="74"/>
    </row>
    <row r="12" spans="1:16" ht="25.5" x14ac:dyDescent="0.25">
      <c r="A12" s="94">
        <v>3</v>
      </c>
      <c r="B12" s="94" t="s">
        <v>483</v>
      </c>
      <c r="C12" s="94">
        <v>0</v>
      </c>
      <c r="D12" s="94">
        <v>16389.97</v>
      </c>
      <c r="E12" s="94">
        <v>0</v>
      </c>
      <c r="F12" s="94">
        <v>3605.79</v>
      </c>
      <c r="G12" s="94">
        <v>0</v>
      </c>
      <c r="H12" s="94">
        <v>9326</v>
      </c>
      <c r="I12" s="94">
        <v>0</v>
      </c>
      <c r="J12" s="94">
        <v>0</v>
      </c>
      <c r="K12" s="94">
        <v>0</v>
      </c>
      <c r="L12" s="94">
        <v>974</v>
      </c>
      <c r="M12" s="74"/>
      <c r="N12" s="74"/>
      <c r="O12" s="74"/>
      <c r="P12" s="74"/>
    </row>
    <row r="13" spans="1:16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74"/>
      <c r="N13" s="74"/>
      <c r="O13" s="74"/>
      <c r="P13" s="74"/>
    </row>
    <row r="14" spans="1:16" x14ac:dyDescent="0.2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74"/>
      <c r="N14" s="74"/>
      <c r="O14" s="74"/>
      <c r="P14" s="74"/>
    </row>
    <row r="15" spans="1:16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</row>
    <row r="17" spans="1:16" x14ac:dyDescent="0.25">
      <c r="A17" s="74"/>
      <c r="B17" s="74"/>
      <c r="C17" s="469" t="s">
        <v>485</v>
      </c>
      <c r="D17" s="469"/>
      <c r="E17" s="74"/>
      <c r="F17" s="432"/>
      <c r="G17" s="432"/>
      <c r="H17" s="74"/>
      <c r="I17" s="462" t="s">
        <v>486</v>
      </c>
      <c r="J17" s="462"/>
      <c r="K17" s="74"/>
      <c r="L17" s="74"/>
      <c r="M17" s="74"/>
      <c r="N17" s="74"/>
      <c r="O17" s="74"/>
      <c r="P17" s="74"/>
    </row>
    <row r="18" spans="1:16" x14ac:dyDescent="0.25">
      <c r="A18" s="74"/>
      <c r="B18" s="74"/>
      <c r="C18" s="472" t="s">
        <v>152</v>
      </c>
      <c r="D18" s="472"/>
      <c r="E18" s="74"/>
      <c r="F18" s="472" t="s">
        <v>153</v>
      </c>
      <c r="G18" s="472"/>
      <c r="H18" s="74"/>
      <c r="I18" s="472" t="s">
        <v>130</v>
      </c>
      <c r="J18" s="472"/>
      <c r="K18" s="74"/>
      <c r="L18" s="74"/>
      <c r="M18" s="74"/>
      <c r="N18" s="74"/>
      <c r="O18" s="74"/>
      <c r="P18" s="74"/>
    </row>
    <row r="19" spans="1:16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ht="38.25" customHeight="1" x14ac:dyDescent="0.25">
      <c r="A20" s="74"/>
      <c r="B20" s="474" t="s">
        <v>487</v>
      </c>
      <c r="C20" s="474"/>
      <c r="D20" s="4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16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6" ht="60" customHeight="1" x14ac:dyDescent="0.25">
      <c r="A25" s="74"/>
      <c r="B25" s="421" t="s">
        <v>469</v>
      </c>
      <c r="C25" s="421"/>
      <c r="D25" s="74"/>
      <c r="E25" s="74"/>
      <c r="F25" s="74"/>
      <c r="G25" s="74"/>
      <c r="H25" s="74"/>
      <c r="I25" s="473" t="s">
        <v>470</v>
      </c>
      <c r="J25" s="473"/>
      <c r="K25" s="74"/>
      <c r="L25" s="74"/>
      <c r="M25" s="74"/>
      <c r="N25" s="74"/>
      <c r="O25" s="74"/>
      <c r="P25" s="74"/>
    </row>
    <row r="26" spans="1:16" x14ac:dyDescent="0.2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</row>
    <row r="27" spans="1:16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x14ac:dyDescent="0.2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6" x14ac:dyDescent="0.2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16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</sheetData>
  <mergeCells count="21">
    <mergeCell ref="I18:J18"/>
    <mergeCell ref="F18:G18"/>
    <mergeCell ref="C18:D18"/>
    <mergeCell ref="B25:C25"/>
    <mergeCell ref="I25:J25"/>
    <mergeCell ref="B20:D20"/>
    <mergeCell ref="J1:L1"/>
    <mergeCell ref="J2:L2"/>
    <mergeCell ref="C17:D17"/>
    <mergeCell ref="F17:G17"/>
    <mergeCell ref="I17:J17"/>
    <mergeCell ref="I7:J7"/>
    <mergeCell ref="K7:L7"/>
    <mergeCell ref="A4:L4"/>
    <mergeCell ref="A6:A8"/>
    <mergeCell ref="B6:B8"/>
    <mergeCell ref="C6:L6"/>
    <mergeCell ref="C7:D7"/>
    <mergeCell ref="E7:F7"/>
    <mergeCell ref="G7:H7"/>
    <mergeCell ref="A5:L5"/>
  </mergeCells>
  <pageMargins left="0" right="0" top="0" bottom="0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135"/>
  <sheetViews>
    <sheetView topLeftCell="A137" workbookViewId="0">
      <selection activeCell="D1" sqref="D1:K148"/>
    </sheetView>
  </sheetViews>
  <sheetFormatPr defaultRowHeight="15" x14ac:dyDescent="0.25"/>
  <cols>
    <col min="8" max="8" width="9.85546875" customWidth="1"/>
    <col min="11" max="11" width="18.42578125" customWidth="1"/>
    <col min="13" max="13" width="9.5703125" bestFit="1" customWidth="1"/>
  </cols>
  <sheetData>
    <row r="4" spans="4:10" x14ac:dyDescent="0.25">
      <c r="E4" s="268" t="s">
        <v>512</v>
      </c>
      <c r="F4" s="268"/>
      <c r="G4" s="268" t="s">
        <v>513</v>
      </c>
      <c r="H4" s="268"/>
      <c r="I4" s="268"/>
      <c r="J4" s="268"/>
    </row>
    <row r="5" spans="4:10" x14ac:dyDescent="0.25">
      <c r="E5" s="268" t="s">
        <v>514</v>
      </c>
      <c r="F5" s="268"/>
      <c r="G5" s="268"/>
      <c r="H5" s="268"/>
      <c r="I5" s="268"/>
      <c r="J5" s="268"/>
    </row>
    <row r="6" spans="4:10" x14ac:dyDescent="0.25">
      <c r="E6" s="268"/>
      <c r="F6" s="268"/>
      <c r="G6" s="268" t="s">
        <v>515</v>
      </c>
      <c r="H6" s="268"/>
      <c r="I6" s="268"/>
      <c r="J6" s="268"/>
    </row>
    <row r="7" spans="4:10" x14ac:dyDescent="0.25">
      <c r="E7" s="268"/>
      <c r="F7" s="268"/>
      <c r="G7" s="268"/>
      <c r="H7" s="268"/>
      <c r="I7" s="268"/>
      <c r="J7" s="268"/>
    </row>
    <row r="8" spans="4:10" x14ac:dyDescent="0.25">
      <c r="E8" s="268"/>
      <c r="F8" s="268"/>
      <c r="G8" s="268"/>
      <c r="H8" s="268"/>
      <c r="I8" s="268"/>
      <c r="J8" s="268"/>
    </row>
    <row r="9" spans="4:10" x14ac:dyDescent="0.25">
      <c r="E9" s="268"/>
      <c r="F9" s="268"/>
      <c r="G9" s="268" t="s">
        <v>516</v>
      </c>
      <c r="H9" s="268"/>
      <c r="I9" s="268"/>
      <c r="J9" s="268"/>
    </row>
    <row r="11" spans="4:10" x14ac:dyDescent="0.25">
      <c r="D11" t="s">
        <v>517</v>
      </c>
    </row>
    <row r="12" spans="4:10" x14ac:dyDescent="0.25">
      <c r="D12" t="s">
        <v>520</v>
      </c>
    </row>
    <row r="13" spans="4:10" x14ac:dyDescent="0.25">
      <c r="D13" t="s">
        <v>557</v>
      </c>
    </row>
    <row r="14" spans="4:10" x14ac:dyDescent="0.25">
      <c r="D14" t="s">
        <v>558</v>
      </c>
    </row>
    <row r="15" spans="4:10" x14ac:dyDescent="0.25">
      <c r="D15" t="s">
        <v>559</v>
      </c>
    </row>
    <row r="16" spans="4:10" x14ac:dyDescent="0.25">
      <c r="D16" t="s">
        <v>560</v>
      </c>
    </row>
    <row r="17" spans="4:4" x14ac:dyDescent="0.25">
      <c r="D17" t="s">
        <v>561</v>
      </c>
    </row>
    <row r="18" spans="4:4" x14ac:dyDescent="0.25">
      <c r="D18" t="s">
        <v>562</v>
      </c>
    </row>
    <row r="19" spans="4:4" x14ac:dyDescent="0.25">
      <c r="D19" t="s">
        <v>563</v>
      </c>
    </row>
    <row r="20" spans="4:4" x14ac:dyDescent="0.25">
      <c r="D20" t="s">
        <v>564</v>
      </c>
    </row>
    <row r="21" spans="4:4" x14ac:dyDescent="0.25">
      <c r="D21" t="s">
        <v>565</v>
      </c>
    </row>
    <row r="22" spans="4:4" x14ac:dyDescent="0.25">
      <c r="D22" t="s">
        <v>518</v>
      </c>
    </row>
    <row r="24" spans="4:4" x14ac:dyDescent="0.25">
      <c r="D24" t="s">
        <v>519</v>
      </c>
    </row>
    <row r="25" spans="4:4" x14ac:dyDescent="0.25">
      <c r="D25" t="s">
        <v>521</v>
      </c>
    </row>
    <row r="26" spans="4:4" x14ac:dyDescent="0.25">
      <c r="D26" t="s">
        <v>522</v>
      </c>
    </row>
    <row r="27" spans="4:4" x14ac:dyDescent="0.25">
      <c r="D27" t="s">
        <v>523</v>
      </c>
    </row>
    <row r="28" spans="4:4" x14ac:dyDescent="0.25">
      <c r="D28" t="s">
        <v>524</v>
      </c>
    </row>
    <row r="29" spans="4:4" x14ac:dyDescent="0.25">
      <c r="D29" t="s">
        <v>525</v>
      </c>
    </row>
    <row r="30" spans="4:4" x14ac:dyDescent="0.25">
      <c r="D30" t="s">
        <v>526</v>
      </c>
    </row>
    <row r="31" spans="4:4" x14ac:dyDescent="0.25">
      <c r="D31" t="s">
        <v>527</v>
      </c>
    </row>
    <row r="32" spans="4:4" x14ac:dyDescent="0.25">
      <c r="D32" t="s">
        <v>528</v>
      </c>
    </row>
    <row r="33" spans="4:14" x14ac:dyDescent="0.25">
      <c r="D33" t="s">
        <v>529</v>
      </c>
    </row>
    <row r="35" spans="4:14" x14ac:dyDescent="0.25">
      <c r="D35" t="s">
        <v>530</v>
      </c>
    </row>
    <row r="36" spans="4:14" x14ac:dyDescent="0.25">
      <c r="D36" t="s">
        <v>531</v>
      </c>
    </row>
    <row r="37" spans="4:14" x14ac:dyDescent="0.25">
      <c r="D37" t="s">
        <v>532</v>
      </c>
    </row>
    <row r="38" spans="4:14" x14ac:dyDescent="0.25">
      <c r="D38" t="s">
        <v>533</v>
      </c>
    </row>
    <row r="39" spans="4:14" x14ac:dyDescent="0.25">
      <c r="D39" t="s">
        <v>534</v>
      </c>
    </row>
    <row r="40" spans="4:14" x14ac:dyDescent="0.25">
      <c r="D40" t="s">
        <v>535</v>
      </c>
    </row>
    <row r="41" spans="4:14" x14ac:dyDescent="0.25">
      <c r="D41" t="s">
        <v>536</v>
      </c>
    </row>
    <row r="42" spans="4:14" x14ac:dyDescent="0.25">
      <c r="D42" t="s">
        <v>537</v>
      </c>
    </row>
    <row r="43" spans="4:14" x14ac:dyDescent="0.25">
      <c r="D43" t="s">
        <v>566</v>
      </c>
    </row>
    <row r="44" spans="4:14" x14ac:dyDescent="0.25">
      <c r="D44" t="s">
        <v>538</v>
      </c>
    </row>
    <row r="45" spans="4:14" x14ac:dyDescent="0.25">
      <c r="D45" t="s">
        <v>539</v>
      </c>
    </row>
    <row r="46" spans="4:14" x14ac:dyDescent="0.25">
      <c r="D46" t="s">
        <v>567</v>
      </c>
      <c r="I46" t="s">
        <v>540</v>
      </c>
    </row>
    <row r="47" spans="4:14" x14ac:dyDescent="0.25">
      <c r="D47" t="s">
        <v>541</v>
      </c>
    </row>
    <row r="48" spans="4:14" x14ac:dyDescent="0.25">
      <c r="D48" t="s">
        <v>542</v>
      </c>
      <c r="N48" t="s">
        <v>568</v>
      </c>
    </row>
    <row r="49" spans="4:13" x14ac:dyDescent="0.25">
      <c r="D49" t="s">
        <v>543</v>
      </c>
    </row>
    <row r="51" spans="4:13" x14ac:dyDescent="0.25">
      <c r="F51" s="268" t="s">
        <v>646</v>
      </c>
      <c r="G51" s="268"/>
      <c r="H51" s="268"/>
      <c r="I51" s="268"/>
      <c r="J51" s="268"/>
    </row>
    <row r="53" spans="4:13" x14ac:dyDescent="0.25">
      <c r="E53" t="s">
        <v>569</v>
      </c>
    </row>
    <row r="55" spans="4:13" x14ac:dyDescent="0.25">
      <c r="D55" s="272" t="s">
        <v>570</v>
      </c>
      <c r="E55" s="475" t="s">
        <v>575</v>
      </c>
      <c r="F55" s="476"/>
      <c r="G55" s="477"/>
      <c r="H55" s="272" t="s">
        <v>574</v>
      </c>
      <c r="I55" s="475" t="s">
        <v>572</v>
      </c>
      <c r="J55" s="476"/>
      <c r="K55" s="282" t="s">
        <v>571</v>
      </c>
    </row>
    <row r="56" spans="4:13" x14ac:dyDescent="0.25">
      <c r="D56" s="273"/>
      <c r="E56" s="274"/>
      <c r="F56" s="275"/>
      <c r="G56" s="276"/>
      <c r="H56" s="278" t="s">
        <v>573</v>
      </c>
      <c r="I56" s="277">
        <v>2021</v>
      </c>
      <c r="J56" s="277">
        <v>2023</v>
      </c>
      <c r="K56" s="277" t="s">
        <v>583</v>
      </c>
    </row>
    <row r="57" spans="4:13" x14ac:dyDescent="0.25">
      <c r="D57" s="278"/>
      <c r="E57" s="279"/>
      <c r="F57" s="280"/>
      <c r="G57" s="281"/>
      <c r="H57" s="278"/>
      <c r="I57" s="277" t="s">
        <v>339</v>
      </c>
      <c r="J57" s="277" t="s">
        <v>338</v>
      </c>
      <c r="K57" s="277" t="s">
        <v>582</v>
      </c>
    </row>
    <row r="58" spans="4:13" x14ac:dyDescent="0.25">
      <c r="D58" s="272"/>
      <c r="E58" s="286"/>
      <c r="F58" s="287"/>
      <c r="G58" s="288"/>
      <c r="H58" s="272"/>
      <c r="I58" s="272"/>
      <c r="J58" s="272"/>
      <c r="K58" s="272"/>
    </row>
    <row r="59" spans="4:13" x14ac:dyDescent="0.25">
      <c r="D59" s="285" t="s">
        <v>576</v>
      </c>
      <c r="E59" s="289" t="s">
        <v>577</v>
      </c>
      <c r="F59" s="290"/>
      <c r="G59" s="291"/>
      <c r="H59" s="285" t="s">
        <v>579</v>
      </c>
      <c r="I59" s="285">
        <f>I62+I65+I68</f>
        <v>16.514999999999997</v>
      </c>
      <c r="J59" s="285">
        <f>J62+J65+J68</f>
        <v>22.686</v>
      </c>
      <c r="K59" s="293">
        <v>37.369999999999997</v>
      </c>
      <c r="M59" s="284"/>
    </row>
    <row r="60" spans="4:13" x14ac:dyDescent="0.25">
      <c r="D60" s="273"/>
      <c r="E60" s="274" t="s">
        <v>578</v>
      </c>
      <c r="F60" s="275"/>
      <c r="G60" s="276"/>
      <c r="H60" s="292"/>
      <c r="I60" s="292"/>
      <c r="J60" s="292"/>
      <c r="K60" s="292"/>
    </row>
    <row r="61" spans="4:13" x14ac:dyDescent="0.25">
      <c r="D61" s="272"/>
      <c r="E61" s="286"/>
      <c r="F61" s="287"/>
      <c r="G61" s="288"/>
      <c r="H61" s="282"/>
      <c r="I61" s="282"/>
      <c r="J61" s="282"/>
      <c r="K61" s="282"/>
      <c r="L61" s="283"/>
    </row>
    <row r="62" spans="4:13" x14ac:dyDescent="0.25">
      <c r="D62" s="294"/>
      <c r="E62" s="289" t="s">
        <v>390</v>
      </c>
      <c r="F62" s="290"/>
      <c r="G62" s="291"/>
      <c r="H62" s="285" t="s">
        <v>579</v>
      </c>
      <c r="I62" s="285">
        <v>14.872999999999999</v>
      </c>
      <c r="J62" s="285">
        <v>19.861000000000001</v>
      </c>
      <c r="K62" s="297">
        <v>33.54</v>
      </c>
      <c r="L62" s="283"/>
    </row>
    <row r="63" spans="4:13" x14ac:dyDescent="0.25">
      <c r="D63" s="273"/>
      <c r="E63" s="274"/>
      <c r="F63" s="275"/>
      <c r="G63" s="276"/>
      <c r="H63" s="292"/>
      <c r="I63" s="292"/>
      <c r="J63" s="292"/>
      <c r="K63" s="292"/>
    </row>
    <row r="64" spans="4:13" x14ac:dyDescent="0.25">
      <c r="D64" s="272"/>
      <c r="E64" s="286"/>
      <c r="F64" s="287"/>
      <c r="G64" s="288"/>
      <c r="H64" s="282"/>
      <c r="I64" s="282"/>
      <c r="J64" s="282"/>
      <c r="K64" s="282"/>
    </row>
    <row r="65" spans="4:13" x14ac:dyDescent="0.25">
      <c r="D65" s="295"/>
      <c r="E65" s="289" t="s">
        <v>580</v>
      </c>
      <c r="F65" s="290"/>
      <c r="G65" s="291"/>
      <c r="H65" s="285" t="s">
        <v>579</v>
      </c>
      <c r="I65" s="285">
        <v>1.2769999999999999</v>
      </c>
      <c r="J65" s="296">
        <v>2.17</v>
      </c>
      <c r="K65" s="297">
        <v>69.930000000000007</v>
      </c>
      <c r="M65" s="283"/>
    </row>
    <row r="66" spans="4:13" x14ac:dyDescent="0.25">
      <c r="D66" s="273"/>
      <c r="E66" s="274"/>
      <c r="F66" s="275"/>
      <c r="G66" s="276"/>
      <c r="H66" s="292"/>
      <c r="I66" s="292"/>
      <c r="J66" s="292"/>
      <c r="K66" s="292"/>
    </row>
    <row r="67" spans="4:13" x14ac:dyDescent="0.25">
      <c r="D67" s="272"/>
      <c r="E67" s="286"/>
      <c r="F67" s="287"/>
      <c r="G67" s="288"/>
      <c r="H67" s="282"/>
      <c r="I67" s="282"/>
      <c r="J67" s="282"/>
      <c r="K67" s="282"/>
    </row>
    <row r="68" spans="4:13" x14ac:dyDescent="0.25">
      <c r="D68" s="295"/>
      <c r="E68" s="289" t="s">
        <v>581</v>
      </c>
      <c r="F68" s="290"/>
      <c r="G68" s="291"/>
      <c r="H68" s="285" t="s">
        <v>579</v>
      </c>
      <c r="I68" s="285">
        <v>0.36499999999999999</v>
      </c>
      <c r="J68" s="285">
        <v>0.65500000000000003</v>
      </c>
      <c r="K68" s="297">
        <v>79.73</v>
      </c>
    </row>
    <row r="69" spans="4:13" x14ac:dyDescent="0.25">
      <c r="D69" s="273"/>
      <c r="E69" s="274"/>
      <c r="F69" s="275"/>
      <c r="G69" s="276"/>
      <c r="H69" s="273"/>
      <c r="I69" s="295"/>
      <c r="J69" s="273"/>
      <c r="K69" s="273"/>
      <c r="M69" s="283"/>
    </row>
    <row r="70" spans="4:13" x14ac:dyDescent="0.25">
      <c r="D70" s="272"/>
      <c r="E70" s="286" t="s">
        <v>587</v>
      </c>
      <c r="F70" s="287"/>
      <c r="G70" s="288"/>
      <c r="H70" s="272"/>
      <c r="I70" s="272"/>
      <c r="J70" s="272"/>
      <c r="K70" s="272"/>
      <c r="M70" s="283"/>
    </row>
    <row r="71" spans="4:13" x14ac:dyDescent="0.25">
      <c r="D71" s="285" t="s">
        <v>586</v>
      </c>
      <c r="E71" s="289" t="s">
        <v>588</v>
      </c>
      <c r="F71" s="290"/>
      <c r="G71" s="291"/>
      <c r="H71" s="285" t="s">
        <v>589</v>
      </c>
      <c r="I71" s="285">
        <v>24053.599999999999</v>
      </c>
      <c r="J71" s="285">
        <v>54239.6</v>
      </c>
      <c r="K71" s="285">
        <v>56799.7</v>
      </c>
      <c r="M71" s="283"/>
    </row>
    <row r="72" spans="4:13" x14ac:dyDescent="0.25">
      <c r="D72" s="273"/>
      <c r="E72" s="274"/>
      <c r="F72" s="275"/>
      <c r="G72" s="276"/>
      <c r="H72" s="273"/>
      <c r="I72" s="273"/>
      <c r="J72" s="273"/>
      <c r="K72" s="273"/>
      <c r="M72" s="283"/>
    </row>
    <row r="73" spans="4:13" x14ac:dyDescent="0.25">
      <c r="G73" s="290"/>
    </row>
    <row r="74" spans="4:13" x14ac:dyDescent="0.25">
      <c r="D74" t="s">
        <v>584</v>
      </c>
      <c r="L74" s="283"/>
    </row>
    <row r="75" spans="4:13" x14ac:dyDescent="0.25">
      <c r="D75" t="s">
        <v>585</v>
      </c>
    </row>
    <row r="76" spans="4:13" x14ac:dyDescent="0.25">
      <c r="D76" t="s">
        <v>590</v>
      </c>
      <c r="J76" s="284"/>
    </row>
    <row r="77" spans="4:13" x14ac:dyDescent="0.25">
      <c r="D77" t="s">
        <v>591</v>
      </c>
    </row>
    <row r="78" spans="4:13" x14ac:dyDescent="0.25">
      <c r="D78" t="s">
        <v>600</v>
      </c>
    </row>
    <row r="80" spans="4:13" x14ac:dyDescent="0.25">
      <c r="D80" s="286"/>
      <c r="E80" s="287"/>
      <c r="F80" s="287"/>
      <c r="G80" s="287"/>
      <c r="H80" s="288"/>
      <c r="I80" s="272" t="s">
        <v>597</v>
      </c>
      <c r="J80" s="286" t="s">
        <v>594</v>
      </c>
      <c r="K80" s="272" t="s">
        <v>592</v>
      </c>
    </row>
    <row r="81" spans="4:12" x14ac:dyDescent="0.25">
      <c r="D81" s="289" t="s">
        <v>598</v>
      </c>
      <c r="E81" s="290"/>
      <c r="F81" s="290"/>
      <c r="G81" s="290"/>
      <c r="H81" s="291"/>
      <c r="I81" s="295"/>
      <c r="J81" s="274" t="s">
        <v>595</v>
      </c>
      <c r="K81" s="295" t="s">
        <v>593</v>
      </c>
    </row>
    <row r="82" spans="4:12" x14ac:dyDescent="0.25">
      <c r="D82" s="274"/>
      <c r="E82" s="275"/>
      <c r="F82" s="275"/>
      <c r="G82" s="275"/>
      <c r="H82" s="276"/>
      <c r="I82" s="273"/>
      <c r="J82" t="s">
        <v>596</v>
      </c>
      <c r="K82" s="273"/>
    </row>
    <row r="83" spans="4:12" x14ac:dyDescent="0.25">
      <c r="D83" s="286"/>
      <c r="E83" s="287"/>
      <c r="F83" s="287"/>
      <c r="G83" s="287"/>
      <c r="H83" s="288"/>
      <c r="I83" s="272"/>
      <c r="J83" s="286"/>
      <c r="K83" s="272"/>
    </row>
    <row r="84" spans="4:12" x14ac:dyDescent="0.25">
      <c r="D84" s="289" t="s">
        <v>599</v>
      </c>
      <c r="E84" s="290"/>
      <c r="F84" s="290"/>
      <c r="G84" s="290"/>
      <c r="H84" s="291"/>
      <c r="I84" s="273">
        <v>19.861000000000001</v>
      </c>
      <c r="J84" s="274">
        <v>2286.9299999999998</v>
      </c>
      <c r="K84" s="298">
        <f>I84*J84</f>
        <v>45420.71673</v>
      </c>
    </row>
    <row r="85" spans="4:12" x14ac:dyDescent="0.25">
      <c r="D85" s="286"/>
      <c r="E85" s="287"/>
      <c r="F85" s="287"/>
      <c r="G85" s="287"/>
      <c r="H85" s="288"/>
      <c r="I85" s="272"/>
      <c r="J85" s="286"/>
      <c r="K85" s="299"/>
      <c r="L85" s="300"/>
    </row>
    <row r="86" spans="4:12" x14ac:dyDescent="0.25">
      <c r="D86" s="289" t="s">
        <v>580</v>
      </c>
      <c r="E86" s="290"/>
      <c r="F86" s="290"/>
      <c r="G86" s="290"/>
      <c r="H86" s="291"/>
      <c r="I86" s="273">
        <v>2.17</v>
      </c>
      <c r="J86" s="274">
        <v>3484.82</v>
      </c>
      <c r="K86" s="298">
        <f>I86*J86</f>
        <v>7562.0594000000001</v>
      </c>
    </row>
    <row r="87" spans="4:12" x14ac:dyDescent="0.25">
      <c r="D87" s="286"/>
      <c r="E87" s="287"/>
      <c r="F87" s="287"/>
      <c r="G87" s="287"/>
      <c r="H87" s="288"/>
      <c r="I87" s="272"/>
      <c r="J87" s="286"/>
      <c r="K87" s="299"/>
    </row>
    <row r="88" spans="4:12" x14ac:dyDescent="0.25">
      <c r="D88" s="274" t="s">
        <v>581</v>
      </c>
      <c r="E88" s="275"/>
      <c r="F88" s="275"/>
      <c r="G88" s="275"/>
      <c r="H88" s="276"/>
      <c r="I88" s="273">
        <v>0.65500000000000003</v>
      </c>
      <c r="J88" s="274">
        <v>5827.34</v>
      </c>
      <c r="K88" s="298">
        <f>I88*J88</f>
        <v>3816.9077000000002</v>
      </c>
      <c r="L88" s="300"/>
    </row>
    <row r="89" spans="4:12" x14ac:dyDescent="0.25">
      <c r="K89" s="300"/>
    </row>
    <row r="90" spans="4:12" x14ac:dyDescent="0.25">
      <c r="D90" t="s">
        <v>635</v>
      </c>
      <c r="L90" s="300"/>
    </row>
    <row r="91" spans="4:12" x14ac:dyDescent="0.25">
      <c r="D91" t="s">
        <v>634</v>
      </c>
      <c r="L91" s="300"/>
    </row>
    <row r="92" spans="4:12" x14ac:dyDescent="0.25">
      <c r="D92" t="s">
        <v>636</v>
      </c>
    </row>
    <row r="93" spans="4:12" x14ac:dyDescent="0.25">
      <c r="D93" t="s">
        <v>633</v>
      </c>
    </row>
    <row r="94" spans="4:12" x14ac:dyDescent="0.25">
      <c r="D94" t="s">
        <v>645</v>
      </c>
    </row>
    <row r="95" spans="4:12" x14ac:dyDescent="0.25">
      <c r="D95" t="s">
        <v>641</v>
      </c>
    </row>
    <row r="96" spans="4:12" x14ac:dyDescent="0.25">
      <c r="D96" t="s">
        <v>642</v>
      </c>
    </row>
    <row r="97" spans="4:11" x14ac:dyDescent="0.25">
      <c r="D97" t="s">
        <v>643</v>
      </c>
    </row>
    <row r="98" spans="4:11" x14ac:dyDescent="0.25">
      <c r="D98" t="s">
        <v>644</v>
      </c>
    </row>
    <row r="100" spans="4:11" x14ac:dyDescent="0.25">
      <c r="D100" t="s">
        <v>638</v>
      </c>
    </row>
    <row r="101" spans="4:11" x14ac:dyDescent="0.25">
      <c r="D101" t="s">
        <v>637</v>
      </c>
    </row>
    <row r="102" spans="4:11" x14ac:dyDescent="0.25">
      <c r="D102" t="s">
        <v>639</v>
      </c>
    </row>
    <row r="103" spans="4:11" x14ac:dyDescent="0.25">
      <c r="D103" t="s">
        <v>647</v>
      </c>
    </row>
    <row r="104" spans="4:11" x14ac:dyDescent="0.25">
      <c r="D104" t="s">
        <v>640</v>
      </c>
    </row>
    <row r="105" spans="4:11" x14ac:dyDescent="0.25">
      <c r="D105" t="s">
        <v>648</v>
      </c>
    </row>
    <row r="106" spans="4:11" x14ac:dyDescent="0.25">
      <c r="D106" t="s">
        <v>649</v>
      </c>
    </row>
    <row r="108" spans="4:11" x14ac:dyDescent="0.25">
      <c r="F108" s="268" t="s">
        <v>650</v>
      </c>
      <c r="G108" s="268"/>
      <c r="H108" s="268"/>
      <c r="I108" s="268"/>
      <c r="J108" s="268"/>
      <c r="K108" s="268"/>
    </row>
    <row r="110" spans="4:11" x14ac:dyDescent="0.25">
      <c r="D110" t="s">
        <v>651</v>
      </c>
    </row>
    <row r="111" spans="4:11" x14ac:dyDescent="0.25">
      <c r="D111" t="s">
        <v>652</v>
      </c>
    </row>
    <row r="112" spans="4:11" x14ac:dyDescent="0.25">
      <c r="D112" t="s">
        <v>661</v>
      </c>
    </row>
    <row r="113" spans="4:10" x14ac:dyDescent="0.25">
      <c r="D113" t="s">
        <v>653</v>
      </c>
    </row>
    <row r="114" spans="4:10" x14ac:dyDescent="0.25">
      <c r="D114" t="s">
        <v>662</v>
      </c>
    </row>
    <row r="115" spans="4:10" x14ac:dyDescent="0.25">
      <c r="D115" t="s">
        <v>654</v>
      </c>
    </row>
    <row r="116" spans="4:10" x14ac:dyDescent="0.25">
      <c r="E116" t="s">
        <v>655</v>
      </c>
    </row>
    <row r="117" spans="4:10" x14ac:dyDescent="0.25">
      <c r="E117" t="s">
        <v>656</v>
      </c>
    </row>
    <row r="118" spans="4:10" x14ac:dyDescent="0.25">
      <c r="E118" t="s">
        <v>657</v>
      </c>
    </row>
    <row r="119" spans="4:10" x14ac:dyDescent="0.25">
      <c r="E119" t="s">
        <v>658</v>
      </c>
    </row>
    <row r="120" spans="4:10" x14ac:dyDescent="0.25">
      <c r="E120" t="s">
        <v>659</v>
      </c>
    </row>
    <row r="121" spans="4:10" x14ac:dyDescent="0.25">
      <c r="E121" t="s">
        <v>660</v>
      </c>
    </row>
    <row r="124" spans="4:10" x14ac:dyDescent="0.25">
      <c r="G124" s="268" t="s">
        <v>663</v>
      </c>
      <c r="H124" s="268"/>
      <c r="I124" s="268"/>
      <c r="J124" s="268"/>
    </row>
    <row r="125" spans="4:10" x14ac:dyDescent="0.25">
      <c r="F125" s="268"/>
      <c r="G125" s="268"/>
      <c r="H125" s="268"/>
      <c r="I125" s="268"/>
    </row>
    <row r="127" spans="4:10" x14ac:dyDescent="0.25">
      <c r="E127" t="s">
        <v>664</v>
      </c>
    </row>
    <row r="128" spans="4:10" x14ac:dyDescent="0.25">
      <c r="E128" t="s">
        <v>665</v>
      </c>
    </row>
    <row r="129" spans="4:6" x14ac:dyDescent="0.25">
      <c r="E129" t="s">
        <v>666</v>
      </c>
    </row>
    <row r="134" spans="4:6" x14ac:dyDescent="0.25">
      <c r="D134" t="s">
        <v>667</v>
      </c>
    </row>
    <row r="135" spans="4:6" x14ac:dyDescent="0.25">
      <c r="F135" t="s">
        <v>668</v>
      </c>
    </row>
  </sheetData>
  <mergeCells count="2">
    <mergeCell ref="I55:J55"/>
    <mergeCell ref="E55:G5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workbookViewId="0">
      <selection sqref="A1:J144"/>
    </sheetView>
  </sheetViews>
  <sheetFormatPr defaultRowHeight="15" x14ac:dyDescent="0.25"/>
  <cols>
    <col min="1" max="1" width="39" customWidth="1"/>
    <col min="2" max="2" width="10.42578125" customWidth="1"/>
    <col min="3" max="3" width="11.42578125" customWidth="1"/>
    <col min="4" max="4" width="11.28515625" customWidth="1"/>
    <col min="5" max="5" width="12.28515625" customWidth="1"/>
    <col min="6" max="6" width="13" customWidth="1"/>
    <col min="9" max="9" width="10.85546875" customWidth="1"/>
    <col min="10" max="10" width="13" customWidth="1"/>
    <col min="11" max="11" width="19.140625" customWidth="1"/>
  </cols>
  <sheetData>
    <row r="1" spans="1:10" x14ac:dyDescent="0.25">
      <c r="I1" s="73" t="s">
        <v>443</v>
      </c>
    </row>
    <row r="2" spans="1:10" ht="8.25" customHeight="1" x14ac:dyDescent="0.25"/>
    <row r="3" spans="1:10" hidden="1" x14ac:dyDescent="0.25"/>
    <row r="4" spans="1:10" hidden="1" x14ac:dyDescent="0.25"/>
    <row r="5" spans="1:10" hidden="1" x14ac:dyDescent="0.25"/>
    <row r="6" spans="1:10" x14ac:dyDescent="0.25">
      <c r="A6" s="479" t="s">
        <v>331</v>
      </c>
      <c r="B6" s="479"/>
      <c r="C6" s="479"/>
      <c r="D6" s="479"/>
      <c r="E6" s="479"/>
      <c r="F6" s="479"/>
      <c r="G6" s="479"/>
      <c r="H6" s="479"/>
      <c r="I6" s="479"/>
      <c r="J6" s="479"/>
    </row>
    <row r="7" spans="1:10" x14ac:dyDescent="0.25">
      <c r="A7" s="480"/>
      <c r="B7" s="480"/>
      <c r="C7" s="480"/>
      <c r="D7" s="480"/>
      <c r="E7" s="480"/>
      <c r="F7" s="480"/>
      <c r="G7" s="480"/>
      <c r="H7" s="480"/>
      <c r="I7" s="480"/>
      <c r="J7" s="480"/>
    </row>
    <row r="8" spans="1:10" x14ac:dyDescent="0.25">
      <c r="A8" s="481" t="s">
        <v>332</v>
      </c>
      <c r="B8" s="481"/>
      <c r="C8" s="481"/>
      <c r="D8" s="481"/>
      <c r="E8" s="481"/>
      <c r="F8" s="481"/>
      <c r="G8" s="481"/>
      <c r="H8" s="481"/>
      <c r="I8" s="481"/>
      <c r="J8" s="481"/>
    </row>
    <row r="9" spans="1:10" x14ac:dyDescent="0.25">
      <c r="A9" s="481" t="s">
        <v>333</v>
      </c>
      <c r="B9" s="481"/>
      <c r="C9" s="481"/>
      <c r="D9" s="481"/>
      <c r="E9" s="481"/>
      <c r="F9" s="481"/>
      <c r="G9" s="481"/>
      <c r="H9" s="481"/>
      <c r="I9" s="481"/>
      <c r="J9" s="481"/>
    </row>
    <row r="10" spans="1:10" x14ac:dyDescent="0.25">
      <c r="A10" s="133"/>
      <c r="B10" s="134"/>
      <c r="C10" s="134"/>
      <c r="D10" s="134"/>
      <c r="E10" s="134"/>
      <c r="F10" s="134"/>
      <c r="G10" s="135"/>
      <c r="H10" s="135"/>
      <c r="I10" s="167"/>
      <c r="J10" s="135" t="s">
        <v>174</v>
      </c>
    </row>
    <row r="11" spans="1:10" x14ac:dyDescent="0.25">
      <c r="A11" s="482" t="s">
        <v>334</v>
      </c>
      <c r="B11" s="482" t="s">
        <v>335</v>
      </c>
      <c r="C11" s="483" t="s">
        <v>336</v>
      </c>
      <c r="D11" s="484"/>
      <c r="E11" s="484"/>
      <c r="F11" s="485"/>
      <c r="G11" s="486" t="s">
        <v>337</v>
      </c>
      <c r="H11" s="486"/>
      <c r="I11" s="486"/>
      <c r="J11" s="486"/>
    </row>
    <row r="12" spans="1:10" ht="38.25" x14ac:dyDescent="0.25">
      <c r="A12" s="482"/>
      <c r="B12" s="482"/>
      <c r="C12" s="168" t="s">
        <v>338</v>
      </c>
      <c r="D12" s="168" t="s">
        <v>339</v>
      </c>
      <c r="E12" s="169" t="s">
        <v>340</v>
      </c>
      <c r="F12" s="170" t="s">
        <v>341</v>
      </c>
      <c r="G12" s="168" t="s">
        <v>338</v>
      </c>
      <c r="H12" s="168" t="s">
        <v>339</v>
      </c>
      <c r="I12" s="169" t="s">
        <v>342</v>
      </c>
      <c r="J12" s="170" t="s">
        <v>343</v>
      </c>
    </row>
    <row r="13" spans="1:10" x14ac:dyDescent="0.25">
      <c r="A13" s="168" t="s">
        <v>344</v>
      </c>
      <c r="B13" s="168" t="s">
        <v>345</v>
      </c>
      <c r="C13" s="168">
        <v>3</v>
      </c>
      <c r="D13" s="168">
        <v>4</v>
      </c>
      <c r="E13" s="168">
        <v>5</v>
      </c>
      <c r="F13" s="169">
        <v>6</v>
      </c>
      <c r="G13" s="170">
        <v>7</v>
      </c>
      <c r="H13" s="136">
        <v>8</v>
      </c>
      <c r="I13" s="136">
        <v>9</v>
      </c>
      <c r="J13" s="136">
        <v>10</v>
      </c>
    </row>
    <row r="14" spans="1:10" x14ac:dyDescent="0.25">
      <c r="A14" s="487" t="s">
        <v>346</v>
      </c>
      <c r="B14" s="488"/>
      <c r="C14" s="488"/>
      <c r="D14" s="488"/>
      <c r="E14" s="488"/>
      <c r="F14" s="488"/>
      <c r="G14" s="488"/>
      <c r="H14" s="488"/>
      <c r="I14" s="488"/>
      <c r="J14" s="489"/>
    </row>
    <row r="15" spans="1:10" x14ac:dyDescent="0.25">
      <c r="A15" s="490" t="s">
        <v>347</v>
      </c>
      <c r="B15" s="490"/>
      <c r="C15" s="490"/>
      <c r="D15" s="490"/>
      <c r="E15" s="490"/>
      <c r="F15" s="490"/>
      <c r="G15" s="490"/>
      <c r="H15" s="490"/>
      <c r="I15" s="490"/>
      <c r="J15" s="490"/>
    </row>
    <row r="16" spans="1:10" x14ac:dyDescent="0.25">
      <c r="A16" s="200" t="s">
        <v>446</v>
      </c>
      <c r="B16" s="201">
        <v>100</v>
      </c>
      <c r="C16" s="202"/>
      <c r="D16" s="202"/>
      <c r="E16" s="202"/>
      <c r="F16" s="202"/>
      <c r="G16" s="202"/>
      <c r="H16" s="202"/>
      <c r="I16" s="202"/>
      <c r="J16" s="202"/>
    </row>
    <row r="17" spans="1:10" x14ac:dyDescent="0.25">
      <c r="A17" s="200" t="s">
        <v>447</v>
      </c>
      <c r="B17" s="201">
        <v>200</v>
      </c>
      <c r="C17" s="202"/>
      <c r="D17" s="202"/>
      <c r="E17" s="202"/>
      <c r="F17" s="202"/>
      <c r="G17" s="202"/>
      <c r="H17" s="202"/>
      <c r="I17" s="202"/>
      <c r="J17" s="202"/>
    </row>
    <row r="18" spans="1:10" ht="24" x14ac:dyDescent="0.25">
      <c r="A18" s="203" t="s">
        <v>368</v>
      </c>
      <c r="B18" s="204">
        <v>1000</v>
      </c>
      <c r="C18" s="205"/>
      <c r="D18" s="205"/>
      <c r="E18" s="205"/>
      <c r="F18" s="205"/>
      <c r="G18" s="205"/>
      <c r="H18" s="205"/>
      <c r="I18" s="205"/>
      <c r="J18" s="205"/>
    </row>
    <row r="19" spans="1:10" x14ac:dyDescent="0.25">
      <c r="A19" s="206" t="s">
        <v>254</v>
      </c>
      <c r="B19" s="207">
        <v>1001</v>
      </c>
      <c r="C19" s="205"/>
      <c r="D19" s="205"/>
      <c r="E19" s="205"/>
      <c r="F19" s="205"/>
      <c r="G19" s="205"/>
      <c r="H19" s="205"/>
      <c r="I19" s="205"/>
      <c r="J19" s="205"/>
    </row>
    <row r="20" spans="1:10" x14ac:dyDescent="0.25">
      <c r="A20" s="206" t="s">
        <v>259</v>
      </c>
      <c r="B20" s="207">
        <v>1002</v>
      </c>
      <c r="C20" s="205"/>
      <c r="D20" s="205"/>
      <c r="E20" s="205"/>
      <c r="F20" s="205"/>
      <c r="G20" s="205"/>
      <c r="H20" s="205"/>
      <c r="I20" s="205"/>
      <c r="J20" s="205"/>
    </row>
    <row r="21" spans="1:10" x14ac:dyDescent="0.25">
      <c r="A21" s="206" t="s">
        <v>256</v>
      </c>
      <c r="B21" s="207">
        <v>1003</v>
      </c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06" t="s">
        <v>257</v>
      </c>
      <c r="B22" s="207">
        <v>1004</v>
      </c>
      <c r="C22" s="205"/>
      <c r="D22" s="205"/>
      <c r="E22" s="205"/>
      <c r="F22" s="205"/>
      <c r="G22" s="205"/>
      <c r="H22" s="205"/>
      <c r="I22" s="205"/>
      <c r="J22" s="205"/>
    </row>
    <row r="23" spans="1:10" x14ac:dyDescent="0.25">
      <c r="A23" s="206" t="s">
        <v>258</v>
      </c>
      <c r="B23" s="207">
        <v>1005</v>
      </c>
      <c r="C23" s="205"/>
      <c r="D23" s="205"/>
      <c r="E23" s="205"/>
      <c r="F23" s="205"/>
      <c r="G23" s="205"/>
      <c r="H23" s="205"/>
      <c r="I23" s="205"/>
      <c r="J23" s="205"/>
    </row>
    <row r="24" spans="1:10" ht="24" x14ac:dyDescent="0.25">
      <c r="A24" s="206" t="s">
        <v>260</v>
      </c>
      <c r="B24" s="207">
        <v>1006</v>
      </c>
      <c r="C24" s="205"/>
      <c r="D24" s="205"/>
      <c r="E24" s="205"/>
      <c r="F24" s="205"/>
      <c r="G24" s="205"/>
      <c r="H24" s="205"/>
      <c r="I24" s="205"/>
      <c r="J24" s="205"/>
    </row>
    <row r="25" spans="1:10" x14ac:dyDescent="0.25">
      <c r="A25" s="208" t="s">
        <v>366</v>
      </c>
      <c r="B25" s="209">
        <v>1010</v>
      </c>
      <c r="C25" s="205"/>
      <c r="D25" s="205"/>
      <c r="E25" s="205"/>
      <c r="F25" s="205"/>
      <c r="G25" s="205"/>
      <c r="H25" s="205"/>
      <c r="I25" s="205"/>
      <c r="J25" s="205"/>
    </row>
    <row r="26" spans="1:10" ht="36" x14ac:dyDescent="0.25">
      <c r="A26" s="203" t="s">
        <v>367</v>
      </c>
      <c r="B26" s="210">
        <v>1020</v>
      </c>
      <c r="C26" s="205"/>
      <c r="D26" s="205"/>
      <c r="E26" s="205"/>
      <c r="F26" s="205"/>
      <c r="G26" s="205"/>
      <c r="H26" s="205"/>
      <c r="I26" s="205"/>
      <c r="J26" s="205"/>
    </row>
    <row r="27" spans="1:10" x14ac:dyDescent="0.25">
      <c r="A27" s="206" t="s">
        <v>254</v>
      </c>
      <c r="B27" s="207">
        <v>1021</v>
      </c>
      <c r="C27" s="205"/>
      <c r="D27" s="205"/>
      <c r="E27" s="205"/>
      <c r="F27" s="205"/>
      <c r="G27" s="205"/>
      <c r="H27" s="205"/>
      <c r="I27" s="205"/>
      <c r="J27" s="205"/>
    </row>
    <row r="28" spans="1:10" x14ac:dyDescent="0.25">
      <c r="A28" s="206" t="s">
        <v>259</v>
      </c>
      <c r="B28" s="207">
        <v>1022</v>
      </c>
      <c r="C28" s="205"/>
      <c r="D28" s="205"/>
      <c r="E28" s="205"/>
      <c r="F28" s="205"/>
      <c r="G28" s="205"/>
      <c r="H28" s="205"/>
      <c r="I28" s="205"/>
      <c r="J28" s="205"/>
    </row>
    <row r="29" spans="1:10" x14ac:dyDescent="0.25">
      <c r="A29" s="206" t="s">
        <v>256</v>
      </c>
      <c r="B29" s="207">
        <v>1023</v>
      </c>
      <c r="C29" s="205"/>
      <c r="D29" s="205"/>
      <c r="E29" s="205"/>
      <c r="F29" s="205"/>
      <c r="G29" s="205"/>
      <c r="H29" s="205"/>
      <c r="I29" s="205"/>
      <c r="J29" s="205"/>
    </row>
    <row r="30" spans="1:10" x14ac:dyDescent="0.25">
      <c r="A30" s="206" t="s">
        <v>257</v>
      </c>
      <c r="B30" s="207">
        <v>1024</v>
      </c>
      <c r="C30" s="205"/>
      <c r="D30" s="205"/>
      <c r="E30" s="205"/>
      <c r="F30" s="205"/>
      <c r="G30" s="205"/>
      <c r="H30" s="205"/>
      <c r="I30" s="205"/>
      <c r="J30" s="205"/>
    </row>
    <row r="31" spans="1:10" x14ac:dyDescent="0.25">
      <c r="A31" s="206" t="s">
        <v>258</v>
      </c>
      <c r="B31" s="207">
        <v>1025</v>
      </c>
      <c r="C31" s="205"/>
      <c r="D31" s="205"/>
      <c r="E31" s="205"/>
      <c r="F31" s="205"/>
      <c r="G31" s="205"/>
      <c r="H31" s="205"/>
      <c r="I31" s="205"/>
      <c r="J31" s="205"/>
    </row>
    <row r="32" spans="1:10" ht="24" x14ac:dyDescent="0.25">
      <c r="A32" s="206" t="s">
        <v>260</v>
      </c>
      <c r="B32" s="207">
        <v>1026</v>
      </c>
      <c r="C32" s="205"/>
      <c r="D32" s="205"/>
      <c r="E32" s="205"/>
      <c r="F32" s="205"/>
      <c r="G32" s="205"/>
      <c r="H32" s="205"/>
      <c r="I32" s="205"/>
      <c r="J32" s="205"/>
    </row>
    <row r="33" spans="1:10" ht="24" x14ac:dyDescent="0.25">
      <c r="A33" s="211" t="s">
        <v>30</v>
      </c>
      <c r="B33" s="210">
        <v>1030</v>
      </c>
      <c r="C33" s="205"/>
      <c r="D33" s="205"/>
      <c r="E33" s="205"/>
      <c r="F33" s="205"/>
      <c r="G33" s="205"/>
      <c r="H33" s="205"/>
      <c r="I33" s="205"/>
      <c r="J33" s="205"/>
    </row>
    <row r="34" spans="1:10" x14ac:dyDescent="0.25">
      <c r="A34" s="212" t="s">
        <v>31</v>
      </c>
      <c r="B34" s="213">
        <v>1031</v>
      </c>
      <c r="C34" s="205"/>
      <c r="D34" s="205"/>
      <c r="E34" s="205"/>
      <c r="F34" s="205"/>
      <c r="G34" s="205"/>
      <c r="H34" s="205"/>
      <c r="I34" s="205"/>
      <c r="J34" s="205"/>
    </row>
    <row r="35" spans="1:10" ht="24" x14ac:dyDescent="0.25">
      <c r="A35" s="211" t="s">
        <v>32</v>
      </c>
      <c r="B35" s="210">
        <v>1040</v>
      </c>
      <c r="C35" s="205"/>
      <c r="D35" s="205"/>
      <c r="E35" s="205"/>
      <c r="F35" s="205"/>
      <c r="G35" s="205"/>
      <c r="H35" s="205"/>
      <c r="I35" s="205"/>
      <c r="J35" s="205"/>
    </row>
    <row r="36" spans="1:10" ht="60" x14ac:dyDescent="0.25">
      <c r="A36" s="206" t="s">
        <v>255</v>
      </c>
      <c r="B36" s="207">
        <v>1041</v>
      </c>
      <c r="C36" s="205"/>
      <c r="D36" s="205"/>
      <c r="E36" s="205"/>
      <c r="F36" s="205"/>
      <c r="G36" s="205"/>
      <c r="H36" s="205"/>
      <c r="I36" s="205"/>
      <c r="J36" s="205"/>
    </row>
    <row r="37" spans="1:10" ht="24" x14ac:dyDescent="0.25">
      <c r="A37" s="214" t="s">
        <v>248</v>
      </c>
      <c r="B37" s="215" t="s">
        <v>411</v>
      </c>
      <c r="C37" s="205"/>
      <c r="D37" s="205"/>
      <c r="E37" s="205"/>
      <c r="F37" s="205"/>
      <c r="G37" s="205"/>
      <c r="H37" s="205"/>
      <c r="I37" s="205"/>
      <c r="J37" s="205"/>
    </row>
    <row r="38" spans="1:10" x14ac:dyDescent="0.25">
      <c r="A38" s="214" t="s">
        <v>249</v>
      </c>
      <c r="B38" s="215" t="s">
        <v>412</v>
      </c>
      <c r="C38" s="205"/>
      <c r="D38" s="205"/>
      <c r="E38" s="205"/>
      <c r="F38" s="205"/>
      <c r="G38" s="205"/>
      <c r="H38" s="205"/>
      <c r="I38" s="205"/>
      <c r="J38" s="205"/>
    </row>
    <row r="39" spans="1:10" ht="24" x14ac:dyDescent="0.25">
      <c r="A39" s="214" t="s">
        <v>250</v>
      </c>
      <c r="B39" s="215" t="s">
        <v>413</v>
      </c>
      <c r="C39" s="205"/>
      <c r="D39" s="205"/>
      <c r="E39" s="205"/>
      <c r="F39" s="205"/>
      <c r="G39" s="205"/>
      <c r="H39" s="205"/>
      <c r="I39" s="205"/>
      <c r="J39" s="205"/>
    </row>
    <row r="40" spans="1:10" ht="24" x14ac:dyDescent="0.25">
      <c r="A40" s="214" t="s">
        <v>251</v>
      </c>
      <c r="B40" s="215" t="s">
        <v>414</v>
      </c>
      <c r="C40" s="205"/>
      <c r="D40" s="205"/>
      <c r="E40" s="205"/>
      <c r="F40" s="205"/>
      <c r="G40" s="205"/>
      <c r="H40" s="205"/>
      <c r="I40" s="205"/>
      <c r="J40" s="205"/>
    </row>
    <row r="41" spans="1:10" ht="48" x14ac:dyDescent="0.25">
      <c r="A41" s="214" t="s">
        <v>252</v>
      </c>
      <c r="B41" s="215" t="s">
        <v>415</v>
      </c>
      <c r="C41" s="205"/>
      <c r="D41" s="205"/>
      <c r="E41" s="205"/>
      <c r="F41" s="205"/>
      <c r="G41" s="205"/>
      <c r="H41" s="205"/>
      <c r="I41" s="205"/>
      <c r="J41" s="205"/>
    </row>
    <row r="42" spans="1:10" ht="24" x14ac:dyDescent="0.25">
      <c r="A42" s="214" t="s">
        <v>253</v>
      </c>
      <c r="B42" s="215" t="s">
        <v>416</v>
      </c>
      <c r="C42" s="205"/>
      <c r="D42" s="205"/>
      <c r="E42" s="205"/>
      <c r="F42" s="205"/>
      <c r="G42" s="205"/>
      <c r="H42" s="205"/>
      <c r="I42" s="205"/>
      <c r="J42" s="205"/>
    </row>
    <row r="43" spans="1:10" ht="48" x14ac:dyDescent="0.25">
      <c r="A43" s="206" t="s">
        <v>264</v>
      </c>
      <c r="B43" s="213">
        <v>1042</v>
      </c>
      <c r="C43" s="205"/>
      <c r="D43" s="205"/>
      <c r="E43" s="205"/>
      <c r="F43" s="205"/>
      <c r="G43" s="205"/>
      <c r="H43" s="205"/>
      <c r="I43" s="205"/>
      <c r="J43" s="205"/>
    </row>
    <row r="44" spans="1:10" ht="24" x14ac:dyDescent="0.25">
      <c r="A44" s="214" t="s">
        <v>265</v>
      </c>
      <c r="B44" s="215" t="s">
        <v>417</v>
      </c>
      <c r="C44" s="205"/>
      <c r="D44" s="205"/>
      <c r="E44" s="205"/>
      <c r="F44" s="205"/>
      <c r="G44" s="205"/>
      <c r="H44" s="205"/>
      <c r="I44" s="205"/>
      <c r="J44" s="205"/>
    </row>
    <row r="45" spans="1:10" x14ac:dyDescent="0.25">
      <c r="A45" s="214" t="s">
        <v>31</v>
      </c>
      <c r="B45" s="215" t="s">
        <v>418</v>
      </c>
      <c r="C45" s="205"/>
      <c r="D45" s="205"/>
      <c r="E45" s="205"/>
      <c r="F45" s="205"/>
      <c r="G45" s="205"/>
      <c r="H45" s="205"/>
      <c r="I45" s="205"/>
      <c r="J45" s="205"/>
    </row>
    <row r="46" spans="1:10" ht="36" x14ac:dyDescent="0.25">
      <c r="A46" s="206" t="s">
        <v>266</v>
      </c>
      <c r="B46" s="213">
        <v>1043</v>
      </c>
      <c r="C46" s="205"/>
      <c r="D46" s="205"/>
      <c r="E46" s="205"/>
      <c r="F46" s="205"/>
      <c r="G46" s="205"/>
      <c r="H46" s="205"/>
      <c r="I46" s="205"/>
      <c r="J46" s="205"/>
    </row>
    <row r="47" spans="1:10" x14ac:dyDescent="0.25">
      <c r="A47" s="214" t="s">
        <v>267</v>
      </c>
      <c r="B47" s="215" t="s">
        <v>419</v>
      </c>
      <c r="C47" s="205"/>
      <c r="D47" s="205"/>
      <c r="E47" s="205"/>
      <c r="F47" s="205"/>
      <c r="G47" s="205"/>
      <c r="H47" s="205"/>
      <c r="I47" s="205"/>
      <c r="J47" s="205"/>
    </row>
    <row r="48" spans="1:10" x14ac:dyDescent="0.25">
      <c r="A48" s="214" t="s">
        <v>404</v>
      </c>
      <c r="B48" s="215" t="s">
        <v>420</v>
      </c>
      <c r="C48" s="205"/>
      <c r="D48" s="205"/>
      <c r="E48" s="205"/>
      <c r="F48" s="205"/>
      <c r="G48" s="205"/>
      <c r="H48" s="205"/>
      <c r="I48" s="205"/>
      <c r="J48" s="205"/>
    </row>
    <row r="49" spans="1:10" x14ac:dyDescent="0.25">
      <c r="A49" s="216" t="s">
        <v>33</v>
      </c>
      <c r="B49" s="217">
        <v>1050</v>
      </c>
      <c r="C49" s="205"/>
      <c r="D49" s="205"/>
      <c r="E49" s="205"/>
      <c r="F49" s="205"/>
      <c r="G49" s="205"/>
      <c r="H49" s="205"/>
      <c r="I49" s="205"/>
      <c r="J49" s="205"/>
    </row>
    <row r="50" spans="1:10" x14ac:dyDescent="0.25">
      <c r="A50" s="218" t="s">
        <v>34</v>
      </c>
      <c r="B50" s="219">
        <v>1051</v>
      </c>
      <c r="C50" s="205"/>
      <c r="D50" s="205"/>
      <c r="E50" s="205"/>
      <c r="F50" s="205"/>
      <c r="G50" s="205"/>
      <c r="H50" s="205"/>
      <c r="I50" s="205"/>
      <c r="J50" s="205"/>
    </row>
    <row r="51" spans="1:10" x14ac:dyDescent="0.25">
      <c r="A51" s="218" t="s">
        <v>35</v>
      </c>
      <c r="B51" s="219">
        <v>1052</v>
      </c>
      <c r="C51" s="205"/>
      <c r="D51" s="205"/>
      <c r="E51" s="205"/>
      <c r="F51" s="205"/>
      <c r="G51" s="205"/>
      <c r="H51" s="205"/>
      <c r="I51" s="205"/>
      <c r="J51" s="205"/>
    </row>
    <row r="52" spans="1:10" ht="24" x14ac:dyDescent="0.25">
      <c r="A52" s="218" t="s">
        <v>36</v>
      </c>
      <c r="B52" s="219">
        <v>1053</v>
      </c>
      <c r="C52" s="205"/>
      <c r="D52" s="205"/>
      <c r="E52" s="205"/>
      <c r="F52" s="205"/>
      <c r="G52" s="205"/>
      <c r="H52" s="205"/>
      <c r="I52" s="205"/>
      <c r="J52" s="205"/>
    </row>
    <row r="53" spans="1:10" x14ac:dyDescent="0.25">
      <c r="A53" s="220" t="s">
        <v>37</v>
      </c>
      <c r="B53" s="219">
        <v>1054</v>
      </c>
      <c r="C53" s="205"/>
      <c r="D53" s="205"/>
      <c r="E53" s="205"/>
      <c r="F53" s="205"/>
      <c r="G53" s="205"/>
      <c r="H53" s="205"/>
      <c r="I53" s="205"/>
      <c r="J53" s="205"/>
    </row>
    <row r="54" spans="1:10" ht="24" x14ac:dyDescent="0.25">
      <c r="A54" s="221" t="s">
        <v>38</v>
      </c>
      <c r="B54" s="219">
        <v>1055</v>
      </c>
      <c r="C54" s="205"/>
      <c r="D54" s="205"/>
      <c r="E54" s="205"/>
      <c r="F54" s="205"/>
      <c r="G54" s="205"/>
      <c r="H54" s="205"/>
      <c r="I54" s="205"/>
      <c r="J54" s="205"/>
    </row>
    <row r="55" spans="1:10" x14ac:dyDescent="0.25">
      <c r="A55" s="220" t="s">
        <v>39</v>
      </c>
      <c r="B55" s="207">
        <v>1056</v>
      </c>
      <c r="C55" s="205"/>
      <c r="D55" s="205"/>
      <c r="E55" s="205"/>
      <c r="F55" s="205"/>
      <c r="G55" s="205"/>
      <c r="H55" s="205"/>
      <c r="I55" s="205"/>
      <c r="J55" s="205"/>
    </row>
    <row r="56" spans="1:10" x14ac:dyDescent="0.25">
      <c r="A56" s="491" t="s">
        <v>41</v>
      </c>
      <c r="B56" s="491"/>
      <c r="C56" s="491"/>
      <c r="D56" s="491"/>
      <c r="E56" s="491"/>
      <c r="F56" s="491"/>
      <c r="G56" s="491"/>
      <c r="H56" s="491"/>
      <c r="I56" s="491"/>
      <c r="J56" s="491"/>
    </row>
    <row r="57" spans="1:10" ht="24" x14ac:dyDescent="0.25">
      <c r="A57" s="203" t="s">
        <v>42</v>
      </c>
      <c r="B57" s="217">
        <v>1100</v>
      </c>
      <c r="C57" s="205"/>
      <c r="D57" s="205"/>
      <c r="E57" s="205"/>
      <c r="F57" s="205"/>
      <c r="G57" s="205"/>
      <c r="H57" s="205"/>
      <c r="I57" s="205"/>
      <c r="J57" s="205"/>
    </row>
    <row r="58" spans="1:10" x14ac:dyDescent="0.25">
      <c r="A58" s="221" t="s">
        <v>262</v>
      </c>
      <c r="B58" s="222">
        <v>1110</v>
      </c>
      <c r="C58" s="205"/>
      <c r="D58" s="205"/>
      <c r="E58" s="205"/>
      <c r="F58" s="205"/>
      <c r="G58" s="205"/>
      <c r="H58" s="205"/>
      <c r="I58" s="205"/>
      <c r="J58" s="205"/>
    </row>
    <row r="59" spans="1:10" x14ac:dyDescent="0.25">
      <c r="A59" s="223" t="s">
        <v>263</v>
      </c>
      <c r="B59" s="224">
        <v>1111</v>
      </c>
      <c r="C59" s="205"/>
      <c r="D59" s="205"/>
      <c r="E59" s="205"/>
      <c r="F59" s="205"/>
      <c r="G59" s="205"/>
      <c r="H59" s="205"/>
      <c r="I59" s="205"/>
      <c r="J59" s="205"/>
    </row>
    <row r="60" spans="1:10" x14ac:dyDescent="0.25">
      <c r="A60" s="225" t="s">
        <v>271</v>
      </c>
      <c r="B60" s="224">
        <v>1112</v>
      </c>
      <c r="C60" s="205"/>
      <c r="D60" s="205"/>
      <c r="E60" s="205"/>
      <c r="F60" s="205"/>
      <c r="G60" s="205"/>
      <c r="H60" s="205"/>
      <c r="I60" s="205"/>
      <c r="J60" s="205"/>
    </row>
    <row r="61" spans="1:10" x14ac:dyDescent="0.25">
      <c r="A61" s="226" t="s">
        <v>272</v>
      </c>
      <c r="B61" s="224">
        <v>1113</v>
      </c>
      <c r="C61" s="205"/>
      <c r="D61" s="205"/>
      <c r="E61" s="205"/>
      <c r="F61" s="205"/>
      <c r="G61" s="205"/>
      <c r="H61" s="205"/>
      <c r="I61" s="205"/>
      <c r="J61" s="205"/>
    </row>
    <row r="62" spans="1:10" x14ac:dyDescent="0.25">
      <c r="A62" s="227" t="s">
        <v>405</v>
      </c>
      <c r="B62" s="224">
        <v>1114</v>
      </c>
      <c r="C62" s="205"/>
      <c r="D62" s="205"/>
      <c r="E62" s="205"/>
      <c r="F62" s="205"/>
      <c r="G62" s="205"/>
      <c r="H62" s="205"/>
      <c r="I62" s="205"/>
      <c r="J62" s="205"/>
    </row>
    <row r="63" spans="1:10" x14ac:dyDescent="0.25">
      <c r="A63" s="226" t="s">
        <v>406</v>
      </c>
      <c r="B63" s="224">
        <v>1115</v>
      </c>
      <c r="C63" s="205"/>
      <c r="D63" s="205"/>
      <c r="E63" s="205"/>
      <c r="F63" s="205"/>
      <c r="G63" s="205"/>
      <c r="H63" s="205"/>
      <c r="I63" s="205"/>
      <c r="J63" s="205"/>
    </row>
    <row r="64" spans="1:10" x14ac:dyDescent="0.25">
      <c r="A64" s="226" t="s">
        <v>407</v>
      </c>
      <c r="B64" s="224">
        <v>1116</v>
      </c>
      <c r="C64" s="205"/>
      <c r="D64" s="205"/>
      <c r="E64" s="205"/>
      <c r="F64" s="205"/>
      <c r="G64" s="205"/>
      <c r="H64" s="205"/>
      <c r="I64" s="205"/>
      <c r="J64" s="205"/>
    </row>
    <row r="65" spans="1:10" ht="24.75" x14ac:dyDescent="0.25">
      <c r="A65" s="228" t="s">
        <v>44</v>
      </c>
      <c r="B65" s="229">
        <v>1120</v>
      </c>
      <c r="C65" s="205"/>
      <c r="D65" s="205"/>
      <c r="E65" s="205"/>
      <c r="F65" s="205"/>
      <c r="G65" s="205"/>
      <c r="H65" s="205"/>
      <c r="I65" s="205"/>
      <c r="J65" s="205"/>
    </row>
    <row r="66" spans="1:10" x14ac:dyDescent="0.25">
      <c r="A66" s="227" t="s">
        <v>45</v>
      </c>
      <c r="B66" s="224">
        <v>1121</v>
      </c>
      <c r="C66" s="205"/>
      <c r="D66" s="205"/>
      <c r="E66" s="205"/>
      <c r="F66" s="205"/>
      <c r="G66" s="205"/>
      <c r="H66" s="205"/>
      <c r="I66" s="205"/>
      <c r="J66" s="205"/>
    </row>
    <row r="67" spans="1:10" x14ac:dyDescent="0.25">
      <c r="A67" s="227" t="s">
        <v>46</v>
      </c>
      <c r="B67" s="224">
        <v>1122</v>
      </c>
      <c r="C67" s="205"/>
      <c r="D67" s="205"/>
      <c r="E67" s="205"/>
      <c r="F67" s="205"/>
      <c r="G67" s="205"/>
      <c r="H67" s="205"/>
      <c r="I67" s="205"/>
      <c r="J67" s="205"/>
    </row>
    <row r="68" spans="1:10" x14ac:dyDescent="0.25">
      <c r="A68" s="227" t="s">
        <v>47</v>
      </c>
      <c r="B68" s="224">
        <v>1123</v>
      </c>
      <c r="C68" s="205"/>
      <c r="D68" s="205"/>
      <c r="E68" s="205"/>
      <c r="F68" s="205"/>
      <c r="G68" s="205"/>
      <c r="H68" s="205"/>
      <c r="I68" s="205"/>
      <c r="J68" s="205"/>
    </row>
    <row r="69" spans="1:10" x14ac:dyDescent="0.25">
      <c r="A69" s="227" t="s">
        <v>48</v>
      </c>
      <c r="B69" s="224">
        <v>1124</v>
      </c>
      <c r="C69" s="205"/>
      <c r="D69" s="205"/>
      <c r="E69" s="205"/>
      <c r="F69" s="205"/>
      <c r="G69" s="205"/>
      <c r="H69" s="205"/>
      <c r="I69" s="205"/>
      <c r="J69" s="205"/>
    </row>
    <row r="70" spans="1:10" x14ac:dyDescent="0.25">
      <c r="A70" s="227" t="s">
        <v>49</v>
      </c>
      <c r="B70" s="224">
        <v>1125</v>
      </c>
      <c r="C70" s="205"/>
      <c r="D70" s="205"/>
      <c r="E70" s="205"/>
      <c r="F70" s="205"/>
      <c r="G70" s="205"/>
      <c r="H70" s="205"/>
      <c r="I70" s="205"/>
      <c r="J70" s="205"/>
    </row>
    <row r="71" spans="1:10" x14ac:dyDescent="0.25">
      <c r="A71" s="226" t="s">
        <v>408</v>
      </c>
      <c r="B71" s="230">
        <v>1126</v>
      </c>
      <c r="C71" s="205"/>
      <c r="D71" s="205"/>
      <c r="E71" s="205"/>
      <c r="F71" s="205"/>
      <c r="G71" s="205"/>
      <c r="H71" s="205"/>
      <c r="I71" s="205"/>
      <c r="J71" s="205"/>
    </row>
    <row r="72" spans="1:10" x14ac:dyDescent="0.25">
      <c r="A72" s="231" t="s">
        <v>50</v>
      </c>
      <c r="B72" s="232">
        <v>1130</v>
      </c>
      <c r="C72" s="205"/>
      <c r="D72" s="205"/>
      <c r="E72" s="205"/>
      <c r="F72" s="205"/>
      <c r="G72" s="205"/>
      <c r="H72" s="205"/>
      <c r="I72" s="205"/>
      <c r="J72" s="205"/>
    </row>
    <row r="73" spans="1:10" x14ac:dyDescent="0.25">
      <c r="A73" s="228" t="s">
        <v>51</v>
      </c>
      <c r="B73" s="229">
        <v>1140</v>
      </c>
      <c r="C73" s="205"/>
      <c r="D73" s="205"/>
      <c r="E73" s="205"/>
      <c r="F73" s="205"/>
      <c r="G73" s="205"/>
      <c r="H73" s="205"/>
      <c r="I73" s="205"/>
      <c r="J73" s="205"/>
    </row>
    <row r="74" spans="1:10" x14ac:dyDescent="0.25">
      <c r="A74" s="228" t="s">
        <v>52</v>
      </c>
      <c r="B74" s="229">
        <v>1150</v>
      </c>
      <c r="C74" s="205"/>
      <c r="D74" s="205"/>
      <c r="E74" s="205"/>
      <c r="F74" s="205"/>
      <c r="G74" s="205"/>
      <c r="H74" s="205"/>
      <c r="I74" s="205"/>
      <c r="J74" s="205"/>
    </row>
    <row r="75" spans="1:10" x14ac:dyDescent="0.25">
      <c r="A75" s="231" t="s">
        <v>53</v>
      </c>
      <c r="B75" s="229">
        <v>1160</v>
      </c>
      <c r="C75" s="205"/>
      <c r="D75" s="205"/>
      <c r="E75" s="205"/>
      <c r="F75" s="205"/>
      <c r="G75" s="205"/>
      <c r="H75" s="205"/>
      <c r="I75" s="205"/>
      <c r="J75" s="205"/>
    </row>
    <row r="76" spans="1:10" x14ac:dyDescent="0.25">
      <c r="A76" s="228" t="s">
        <v>370</v>
      </c>
      <c r="B76" s="232">
        <v>1170</v>
      </c>
      <c r="C76" s="205"/>
      <c r="D76" s="205"/>
      <c r="E76" s="205"/>
      <c r="F76" s="205"/>
      <c r="G76" s="205"/>
      <c r="H76" s="205"/>
      <c r="I76" s="205"/>
      <c r="J76" s="205"/>
    </row>
    <row r="77" spans="1:10" x14ac:dyDescent="0.25">
      <c r="A77" s="228" t="s">
        <v>70</v>
      </c>
      <c r="B77" s="232">
        <v>1180</v>
      </c>
      <c r="C77" s="205"/>
      <c r="D77" s="205"/>
      <c r="E77" s="205"/>
      <c r="F77" s="205"/>
      <c r="G77" s="205"/>
      <c r="H77" s="205"/>
      <c r="I77" s="205"/>
      <c r="J77" s="205"/>
    </row>
    <row r="78" spans="1:10" ht="36.75" x14ac:dyDescent="0.25">
      <c r="A78" s="228" t="s">
        <v>54</v>
      </c>
      <c r="B78" s="229">
        <v>1190</v>
      </c>
      <c r="C78" s="205"/>
      <c r="D78" s="205"/>
      <c r="E78" s="205"/>
      <c r="F78" s="205"/>
      <c r="G78" s="205"/>
      <c r="H78" s="205"/>
      <c r="I78" s="205"/>
      <c r="J78" s="205"/>
    </row>
    <row r="79" spans="1:10" x14ac:dyDescent="0.25">
      <c r="A79" s="228" t="s">
        <v>55</v>
      </c>
      <c r="B79" s="229">
        <v>1200</v>
      </c>
      <c r="C79" s="205"/>
      <c r="D79" s="205"/>
      <c r="E79" s="205"/>
      <c r="F79" s="205"/>
      <c r="G79" s="205"/>
      <c r="H79" s="205"/>
      <c r="I79" s="205"/>
      <c r="J79" s="205"/>
    </row>
    <row r="80" spans="1:10" x14ac:dyDescent="0.25">
      <c r="A80" s="228" t="s">
        <v>56</v>
      </c>
      <c r="B80" s="229">
        <v>1210</v>
      </c>
      <c r="C80" s="205"/>
      <c r="D80" s="205"/>
      <c r="E80" s="205"/>
      <c r="F80" s="205"/>
      <c r="G80" s="205"/>
      <c r="H80" s="205"/>
      <c r="I80" s="205"/>
      <c r="J80" s="205"/>
    </row>
    <row r="81" spans="1:10" x14ac:dyDescent="0.25">
      <c r="A81" s="228" t="s">
        <v>31</v>
      </c>
      <c r="B81" s="224" t="s">
        <v>425</v>
      </c>
      <c r="C81" s="205"/>
      <c r="D81" s="205"/>
      <c r="E81" s="205"/>
      <c r="F81" s="205"/>
      <c r="G81" s="205"/>
      <c r="H81" s="205"/>
      <c r="I81" s="205"/>
      <c r="J81" s="205"/>
    </row>
    <row r="82" spans="1:10" x14ac:dyDescent="0.25">
      <c r="A82" s="233" t="s">
        <v>57</v>
      </c>
      <c r="B82" s="234">
        <v>1300</v>
      </c>
      <c r="C82" s="205"/>
      <c r="D82" s="205"/>
      <c r="E82" s="205"/>
      <c r="F82" s="205"/>
      <c r="G82" s="205"/>
      <c r="H82" s="205"/>
      <c r="I82" s="205"/>
      <c r="J82" s="205"/>
    </row>
    <row r="83" spans="1:10" x14ac:dyDescent="0.25">
      <c r="A83" s="221" t="s">
        <v>58</v>
      </c>
      <c r="B83" s="229">
        <v>1310</v>
      </c>
      <c r="C83" s="205"/>
      <c r="D83" s="205"/>
      <c r="E83" s="205"/>
      <c r="F83" s="205"/>
      <c r="G83" s="205"/>
      <c r="H83" s="205"/>
      <c r="I83" s="205"/>
      <c r="J83" s="205"/>
    </row>
    <row r="84" spans="1:10" ht="24.75" x14ac:dyDescent="0.25">
      <c r="A84" s="227" t="s">
        <v>409</v>
      </c>
      <c r="B84" s="224">
        <v>1311</v>
      </c>
      <c r="C84" s="205"/>
      <c r="D84" s="205"/>
      <c r="E84" s="205"/>
      <c r="F84" s="205"/>
      <c r="G84" s="205"/>
      <c r="H84" s="205"/>
      <c r="I84" s="205"/>
      <c r="J84" s="205"/>
    </row>
    <row r="85" spans="1:10" ht="24.75" x14ac:dyDescent="0.25">
      <c r="A85" s="227" t="s">
        <v>60</v>
      </c>
      <c r="B85" s="224">
        <v>1312</v>
      </c>
      <c r="C85" s="205"/>
      <c r="D85" s="205"/>
      <c r="E85" s="205"/>
      <c r="F85" s="205"/>
      <c r="G85" s="205"/>
      <c r="H85" s="205"/>
      <c r="I85" s="205"/>
      <c r="J85" s="205"/>
    </row>
    <row r="86" spans="1:10" x14ac:dyDescent="0.25">
      <c r="A86" s="227" t="s">
        <v>61</v>
      </c>
      <c r="B86" s="224">
        <v>1313</v>
      </c>
      <c r="C86" s="205"/>
      <c r="D86" s="205"/>
      <c r="E86" s="205"/>
      <c r="F86" s="205"/>
      <c r="G86" s="205"/>
      <c r="H86" s="205"/>
      <c r="I86" s="205"/>
      <c r="J86" s="205"/>
    </row>
    <row r="87" spans="1:10" x14ac:dyDescent="0.25">
      <c r="A87" s="227" t="s">
        <v>62</v>
      </c>
      <c r="B87" s="224">
        <v>1314</v>
      </c>
      <c r="C87" s="205"/>
      <c r="D87" s="205"/>
      <c r="E87" s="205"/>
      <c r="F87" s="205"/>
      <c r="G87" s="205"/>
      <c r="H87" s="205"/>
      <c r="I87" s="205"/>
      <c r="J87" s="205"/>
    </row>
    <row r="88" spans="1:10" x14ac:dyDescent="0.25">
      <c r="A88" s="227" t="s">
        <v>63</v>
      </c>
      <c r="B88" s="224">
        <v>1315</v>
      </c>
      <c r="C88" s="205"/>
      <c r="D88" s="205"/>
      <c r="E88" s="205"/>
      <c r="F88" s="205"/>
      <c r="G88" s="205"/>
      <c r="H88" s="205"/>
      <c r="I88" s="205"/>
      <c r="J88" s="205"/>
    </row>
    <row r="89" spans="1:10" x14ac:dyDescent="0.25">
      <c r="A89" s="227" t="s">
        <v>370</v>
      </c>
      <c r="B89" s="224">
        <v>1316</v>
      </c>
      <c r="C89" s="205"/>
      <c r="D89" s="205"/>
      <c r="E89" s="205"/>
      <c r="F89" s="205"/>
      <c r="G89" s="205"/>
      <c r="H89" s="205"/>
      <c r="I89" s="205"/>
      <c r="J89" s="205"/>
    </row>
    <row r="90" spans="1:10" x14ac:dyDescent="0.25">
      <c r="A90" s="228" t="s">
        <v>51</v>
      </c>
      <c r="B90" s="229">
        <v>1320</v>
      </c>
      <c r="C90" s="205"/>
      <c r="D90" s="205"/>
      <c r="E90" s="205"/>
      <c r="F90" s="205"/>
      <c r="G90" s="205"/>
      <c r="H90" s="205"/>
      <c r="I90" s="205"/>
      <c r="J90" s="205"/>
    </row>
    <row r="91" spans="1:10" x14ac:dyDescent="0.25">
      <c r="A91" s="228" t="s">
        <v>52</v>
      </c>
      <c r="B91" s="229">
        <v>1330</v>
      </c>
      <c r="C91" s="205"/>
      <c r="D91" s="205"/>
      <c r="E91" s="205"/>
      <c r="F91" s="205"/>
      <c r="G91" s="205"/>
      <c r="H91" s="205"/>
      <c r="I91" s="205"/>
      <c r="J91" s="205"/>
    </row>
    <row r="92" spans="1:10" x14ac:dyDescent="0.25">
      <c r="A92" s="228" t="s">
        <v>64</v>
      </c>
      <c r="B92" s="229">
        <v>1340</v>
      </c>
      <c r="C92" s="205"/>
      <c r="D92" s="205"/>
      <c r="E92" s="205"/>
      <c r="F92" s="205"/>
      <c r="G92" s="205"/>
      <c r="H92" s="205"/>
      <c r="I92" s="205"/>
      <c r="J92" s="205"/>
    </row>
    <row r="93" spans="1:10" x14ac:dyDescent="0.25">
      <c r="A93" s="231" t="s">
        <v>65</v>
      </c>
      <c r="B93" s="229">
        <v>1350</v>
      </c>
      <c r="C93" s="205"/>
      <c r="D93" s="205"/>
      <c r="E93" s="205"/>
      <c r="F93" s="205"/>
      <c r="G93" s="205"/>
      <c r="H93" s="205"/>
      <c r="I93" s="205"/>
      <c r="J93" s="205"/>
    </row>
    <row r="94" spans="1:10" x14ac:dyDescent="0.25">
      <c r="A94" s="231" t="s">
        <v>66</v>
      </c>
      <c r="B94" s="229">
        <v>1360</v>
      </c>
      <c r="C94" s="205"/>
      <c r="D94" s="205"/>
      <c r="E94" s="205"/>
      <c r="F94" s="205"/>
      <c r="G94" s="205"/>
      <c r="H94" s="205"/>
      <c r="I94" s="205"/>
      <c r="J94" s="205"/>
    </row>
    <row r="95" spans="1:10" x14ac:dyDescent="0.25">
      <c r="A95" s="228" t="s">
        <v>67</v>
      </c>
      <c r="B95" s="229">
        <v>1370</v>
      </c>
      <c r="C95" s="205"/>
      <c r="D95" s="205"/>
      <c r="E95" s="205"/>
      <c r="F95" s="205"/>
      <c r="G95" s="205"/>
      <c r="H95" s="205"/>
      <c r="I95" s="205"/>
      <c r="J95" s="205"/>
    </row>
    <row r="96" spans="1:10" x14ac:dyDescent="0.25">
      <c r="A96" s="228" t="s">
        <v>269</v>
      </c>
      <c r="B96" s="229">
        <v>1380</v>
      </c>
      <c r="C96" s="205"/>
      <c r="D96" s="205"/>
      <c r="E96" s="205"/>
      <c r="F96" s="205"/>
      <c r="G96" s="205"/>
      <c r="H96" s="205"/>
      <c r="I96" s="205"/>
      <c r="J96" s="205"/>
    </row>
    <row r="97" spans="1:10" ht="24.75" x14ac:dyDescent="0.25">
      <c r="A97" s="231" t="s">
        <v>68</v>
      </c>
      <c r="B97" s="229">
        <v>1390</v>
      </c>
      <c r="C97" s="205"/>
      <c r="D97" s="205"/>
      <c r="E97" s="205"/>
      <c r="F97" s="205"/>
      <c r="G97" s="205"/>
      <c r="H97" s="205"/>
      <c r="I97" s="205"/>
      <c r="J97" s="205"/>
    </row>
    <row r="98" spans="1:10" x14ac:dyDescent="0.25">
      <c r="A98" s="231" t="s">
        <v>43</v>
      </c>
      <c r="B98" s="229">
        <v>1400</v>
      </c>
      <c r="C98" s="205"/>
      <c r="D98" s="205"/>
      <c r="E98" s="205"/>
      <c r="F98" s="205"/>
      <c r="G98" s="205"/>
      <c r="H98" s="205"/>
      <c r="I98" s="205"/>
      <c r="J98" s="205"/>
    </row>
    <row r="99" spans="1:10" x14ac:dyDescent="0.25">
      <c r="A99" s="231" t="s">
        <v>69</v>
      </c>
      <c r="B99" s="229">
        <v>1410</v>
      </c>
      <c r="C99" s="205"/>
      <c r="D99" s="205"/>
      <c r="E99" s="205"/>
      <c r="F99" s="205"/>
      <c r="G99" s="205"/>
      <c r="H99" s="205"/>
      <c r="I99" s="205"/>
      <c r="J99" s="205"/>
    </row>
    <row r="100" spans="1:10" x14ac:dyDescent="0.25">
      <c r="A100" s="228" t="s">
        <v>70</v>
      </c>
      <c r="B100" s="229">
        <v>1420</v>
      </c>
      <c r="C100" s="205"/>
      <c r="D100" s="205"/>
      <c r="E100" s="205"/>
      <c r="F100" s="205"/>
      <c r="G100" s="205"/>
      <c r="H100" s="205"/>
      <c r="I100" s="205"/>
      <c r="J100" s="205"/>
    </row>
    <row r="101" spans="1:10" ht="24.75" x14ac:dyDescent="0.25">
      <c r="A101" s="231" t="s">
        <v>410</v>
      </c>
      <c r="B101" s="229">
        <v>1430</v>
      </c>
      <c r="C101" s="205"/>
      <c r="D101" s="205"/>
      <c r="E101" s="205"/>
      <c r="F101" s="205"/>
      <c r="G101" s="205"/>
      <c r="H101" s="205"/>
      <c r="I101" s="205"/>
      <c r="J101" s="205"/>
    </row>
    <row r="102" spans="1:10" x14ac:dyDescent="0.25">
      <c r="A102" s="228" t="s">
        <v>71</v>
      </c>
      <c r="B102" s="229">
        <v>1440</v>
      </c>
      <c r="C102" s="205"/>
      <c r="D102" s="205"/>
      <c r="E102" s="205"/>
      <c r="F102" s="205"/>
      <c r="G102" s="205"/>
      <c r="H102" s="205"/>
      <c r="I102" s="205"/>
      <c r="J102" s="205"/>
    </row>
    <row r="103" spans="1:10" x14ac:dyDescent="0.25">
      <c r="A103" s="228" t="s">
        <v>31</v>
      </c>
      <c r="B103" s="224" t="s">
        <v>371</v>
      </c>
      <c r="C103" s="205"/>
      <c r="D103" s="205"/>
      <c r="E103" s="205"/>
      <c r="F103" s="205"/>
      <c r="G103" s="205"/>
      <c r="H103" s="205"/>
      <c r="I103" s="205"/>
      <c r="J103" s="205"/>
    </row>
    <row r="104" spans="1:10" x14ac:dyDescent="0.25">
      <c r="A104" s="228" t="s">
        <v>55</v>
      </c>
      <c r="B104" s="229">
        <v>1450</v>
      </c>
      <c r="C104" s="205"/>
      <c r="D104" s="205"/>
      <c r="E104" s="205"/>
      <c r="F104" s="205"/>
      <c r="G104" s="205"/>
      <c r="H104" s="205"/>
      <c r="I104" s="205"/>
      <c r="J104" s="205"/>
    </row>
    <row r="105" spans="1:10" x14ac:dyDescent="0.25">
      <c r="A105" s="228" t="s">
        <v>72</v>
      </c>
      <c r="B105" s="229">
        <v>1460</v>
      </c>
      <c r="C105" s="205"/>
      <c r="D105" s="205"/>
      <c r="E105" s="205"/>
      <c r="F105" s="205"/>
      <c r="G105" s="205"/>
      <c r="H105" s="205"/>
      <c r="I105" s="205"/>
      <c r="J105" s="205"/>
    </row>
    <row r="106" spans="1:10" x14ac:dyDescent="0.25">
      <c r="A106" s="228"/>
      <c r="B106" s="224" t="s">
        <v>270</v>
      </c>
      <c r="C106" s="205"/>
      <c r="D106" s="205"/>
      <c r="E106" s="205"/>
      <c r="F106" s="205"/>
      <c r="G106" s="205"/>
      <c r="H106" s="205"/>
      <c r="I106" s="205"/>
      <c r="J106" s="205"/>
    </row>
    <row r="107" spans="1:10" x14ac:dyDescent="0.25">
      <c r="A107" s="235" t="s">
        <v>73</v>
      </c>
      <c r="B107" s="234">
        <v>1500</v>
      </c>
      <c r="C107" s="205"/>
      <c r="D107" s="205"/>
      <c r="E107" s="205"/>
      <c r="F107" s="205"/>
      <c r="G107" s="205"/>
      <c r="H107" s="205"/>
      <c r="I107" s="205"/>
      <c r="J107" s="205"/>
    </row>
    <row r="108" spans="1:10" x14ac:dyDescent="0.25">
      <c r="A108" s="231" t="s">
        <v>75</v>
      </c>
      <c r="B108" s="229">
        <v>1510</v>
      </c>
      <c r="C108" s="205"/>
      <c r="D108" s="205"/>
      <c r="E108" s="205"/>
      <c r="F108" s="205"/>
      <c r="G108" s="205"/>
      <c r="H108" s="205"/>
      <c r="I108" s="205"/>
      <c r="J108" s="205"/>
    </row>
    <row r="109" spans="1:10" x14ac:dyDescent="0.25">
      <c r="A109" s="231" t="s">
        <v>51</v>
      </c>
      <c r="B109" s="229">
        <v>1520</v>
      </c>
      <c r="C109" s="205"/>
      <c r="D109" s="205"/>
      <c r="E109" s="205"/>
      <c r="F109" s="205"/>
      <c r="G109" s="205"/>
      <c r="H109" s="205"/>
      <c r="I109" s="205"/>
      <c r="J109" s="205"/>
    </row>
    <row r="110" spans="1:10" x14ac:dyDescent="0.25">
      <c r="A110" s="231" t="s">
        <v>52</v>
      </c>
      <c r="B110" s="229">
        <v>1530</v>
      </c>
      <c r="C110" s="205"/>
      <c r="D110" s="205"/>
      <c r="E110" s="205"/>
      <c r="F110" s="205"/>
      <c r="G110" s="205"/>
      <c r="H110" s="205"/>
      <c r="I110" s="205"/>
      <c r="J110" s="205"/>
    </row>
    <row r="111" spans="1:10" x14ac:dyDescent="0.25">
      <c r="A111" s="231" t="s">
        <v>55</v>
      </c>
      <c r="B111" s="229">
        <v>1540</v>
      </c>
      <c r="C111" s="205"/>
      <c r="D111" s="205"/>
      <c r="E111" s="205"/>
      <c r="F111" s="205"/>
      <c r="G111" s="205"/>
      <c r="H111" s="205"/>
      <c r="I111" s="205"/>
      <c r="J111" s="205"/>
    </row>
    <row r="112" spans="1:10" x14ac:dyDescent="0.25">
      <c r="A112" s="231" t="s">
        <v>448</v>
      </c>
      <c r="B112" s="229">
        <v>1550</v>
      </c>
      <c r="C112" s="205"/>
      <c r="D112" s="205"/>
      <c r="E112" s="205"/>
      <c r="F112" s="205"/>
      <c r="G112" s="205"/>
      <c r="H112" s="205"/>
      <c r="I112" s="205"/>
      <c r="J112" s="205"/>
    </row>
    <row r="113" spans="1:10" x14ac:dyDescent="0.25">
      <c r="A113" s="231" t="s">
        <v>31</v>
      </c>
      <c r="B113" s="236">
        <v>1551</v>
      </c>
      <c r="C113" s="205"/>
      <c r="D113" s="205"/>
      <c r="E113" s="205"/>
      <c r="F113" s="205"/>
      <c r="G113" s="205"/>
      <c r="H113" s="205"/>
      <c r="I113" s="205"/>
      <c r="J113" s="205"/>
    </row>
    <row r="114" spans="1:10" ht="24" x14ac:dyDescent="0.25">
      <c r="A114" s="203" t="s">
        <v>450</v>
      </c>
      <c r="B114" s="237">
        <v>1600</v>
      </c>
      <c r="C114" s="205"/>
      <c r="D114" s="205"/>
      <c r="E114" s="205"/>
      <c r="F114" s="205"/>
      <c r="G114" s="205"/>
      <c r="H114" s="205"/>
      <c r="I114" s="205"/>
      <c r="J114" s="205"/>
    </row>
    <row r="115" spans="1:10" ht="24" x14ac:dyDescent="0.25">
      <c r="A115" s="203" t="s">
        <v>78</v>
      </c>
      <c r="B115" s="237">
        <v>1700</v>
      </c>
      <c r="C115" s="205"/>
      <c r="D115" s="205"/>
      <c r="E115" s="205"/>
      <c r="F115" s="205"/>
      <c r="G115" s="205"/>
      <c r="H115" s="205"/>
      <c r="I115" s="205"/>
      <c r="J115" s="205"/>
    </row>
    <row r="116" spans="1:10" x14ac:dyDescent="0.25">
      <c r="A116" s="492" t="s">
        <v>79</v>
      </c>
      <c r="B116" s="492"/>
      <c r="C116" s="492"/>
      <c r="D116" s="492"/>
      <c r="E116" s="492"/>
      <c r="F116" s="492"/>
      <c r="G116" s="492"/>
      <c r="H116" s="492"/>
      <c r="I116" s="492"/>
      <c r="J116" s="492"/>
    </row>
    <row r="117" spans="1:10" x14ac:dyDescent="0.25">
      <c r="A117" s="231" t="s">
        <v>51</v>
      </c>
      <c r="B117" s="232">
        <v>2000</v>
      </c>
      <c r="C117" s="205"/>
      <c r="D117" s="205"/>
      <c r="E117" s="205"/>
      <c r="F117" s="205"/>
      <c r="G117" s="205"/>
      <c r="H117" s="205"/>
      <c r="I117" s="205"/>
      <c r="J117" s="205"/>
    </row>
    <row r="118" spans="1:10" x14ac:dyDescent="0.25">
      <c r="A118" s="214" t="s">
        <v>81</v>
      </c>
      <c r="B118" s="230">
        <v>2001</v>
      </c>
      <c r="C118" s="205"/>
      <c r="D118" s="205"/>
      <c r="E118" s="205"/>
      <c r="F118" s="205"/>
      <c r="G118" s="205"/>
      <c r="H118" s="205"/>
      <c r="I118" s="205"/>
      <c r="J118" s="205"/>
    </row>
    <row r="119" spans="1:10" x14ac:dyDescent="0.25">
      <c r="A119" s="231" t="s">
        <v>52</v>
      </c>
      <c r="B119" s="232">
        <v>2010</v>
      </c>
      <c r="C119" s="205"/>
      <c r="D119" s="205"/>
      <c r="E119" s="205"/>
      <c r="F119" s="205"/>
      <c r="G119" s="205"/>
      <c r="H119" s="205"/>
      <c r="I119" s="205"/>
      <c r="J119" s="205"/>
    </row>
    <row r="120" spans="1:10" x14ac:dyDescent="0.25">
      <c r="A120" s="214" t="s">
        <v>81</v>
      </c>
      <c r="B120" s="238">
        <v>2011</v>
      </c>
      <c r="C120" s="205"/>
      <c r="D120" s="205"/>
      <c r="E120" s="205"/>
      <c r="F120" s="205"/>
      <c r="G120" s="205"/>
      <c r="H120" s="205"/>
      <c r="I120" s="205"/>
      <c r="J120" s="205"/>
    </row>
    <row r="121" spans="1:10" x14ac:dyDescent="0.25">
      <c r="A121" s="231" t="s">
        <v>75</v>
      </c>
      <c r="B121" s="239">
        <v>2020</v>
      </c>
      <c r="C121" s="205"/>
      <c r="D121" s="205"/>
      <c r="E121" s="205"/>
      <c r="F121" s="205"/>
      <c r="G121" s="205"/>
      <c r="H121" s="205"/>
      <c r="I121" s="205"/>
      <c r="J121" s="205"/>
    </row>
    <row r="122" spans="1:10" x14ac:dyDescent="0.25">
      <c r="A122" s="214" t="s">
        <v>81</v>
      </c>
      <c r="B122" s="238">
        <v>2021</v>
      </c>
      <c r="C122" s="205"/>
      <c r="D122" s="205"/>
      <c r="E122" s="205"/>
      <c r="F122" s="205"/>
      <c r="G122" s="205"/>
      <c r="H122" s="205"/>
      <c r="I122" s="205"/>
      <c r="J122" s="205"/>
    </row>
    <row r="123" spans="1:10" x14ac:dyDescent="0.25">
      <c r="A123" s="231" t="s">
        <v>69</v>
      </c>
      <c r="B123" s="239">
        <v>2030</v>
      </c>
      <c r="C123" s="205"/>
      <c r="D123" s="205"/>
      <c r="E123" s="205"/>
      <c r="F123" s="205"/>
      <c r="G123" s="205"/>
      <c r="H123" s="205"/>
      <c r="I123" s="205"/>
      <c r="J123" s="205"/>
    </row>
    <row r="124" spans="1:10" x14ac:dyDescent="0.25">
      <c r="A124" s="214" t="s">
        <v>81</v>
      </c>
      <c r="B124" s="238">
        <v>2031</v>
      </c>
      <c r="C124" s="205"/>
      <c r="D124" s="205"/>
      <c r="E124" s="205"/>
      <c r="F124" s="205"/>
      <c r="G124" s="205"/>
      <c r="H124" s="205"/>
      <c r="I124" s="205"/>
      <c r="J124" s="205"/>
    </row>
    <row r="125" spans="1:10" x14ac:dyDescent="0.25">
      <c r="A125" s="231" t="s">
        <v>55</v>
      </c>
      <c r="B125" s="239">
        <v>2040</v>
      </c>
      <c r="C125" s="205"/>
      <c r="D125" s="205"/>
      <c r="E125" s="205"/>
      <c r="F125" s="205"/>
      <c r="G125" s="205"/>
      <c r="H125" s="205"/>
      <c r="I125" s="205"/>
      <c r="J125" s="205"/>
    </row>
    <row r="126" spans="1:10" x14ac:dyDescent="0.25">
      <c r="A126" s="231" t="s">
        <v>82</v>
      </c>
      <c r="B126" s="239">
        <v>2050</v>
      </c>
      <c r="C126" s="205"/>
      <c r="D126" s="205"/>
      <c r="E126" s="205"/>
      <c r="F126" s="205"/>
      <c r="G126" s="205"/>
      <c r="H126" s="205"/>
      <c r="I126" s="205"/>
      <c r="J126" s="205"/>
    </row>
    <row r="127" spans="1:10" x14ac:dyDescent="0.25">
      <c r="A127" s="214" t="s">
        <v>81</v>
      </c>
      <c r="B127" s="238">
        <v>2051</v>
      </c>
      <c r="C127" s="205"/>
      <c r="D127" s="205"/>
      <c r="E127" s="205"/>
      <c r="F127" s="205"/>
      <c r="G127" s="205"/>
      <c r="H127" s="205"/>
      <c r="I127" s="205"/>
      <c r="J127" s="205"/>
    </row>
    <row r="128" spans="1:10" ht="24.75" x14ac:dyDescent="0.25">
      <c r="A128" s="235" t="s">
        <v>83</v>
      </c>
      <c r="B128" s="240">
        <v>2060</v>
      </c>
      <c r="C128" s="205"/>
      <c r="D128" s="205"/>
      <c r="E128" s="205"/>
      <c r="F128" s="205"/>
      <c r="G128" s="205"/>
      <c r="H128" s="205"/>
      <c r="I128" s="205"/>
      <c r="J128" s="205"/>
    </row>
    <row r="129" spans="1:10" x14ac:dyDescent="0.25">
      <c r="A129" s="493" t="s">
        <v>84</v>
      </c>
      <c r="B129" s="493"/>
      <c r="C129" s="493"/>
      <c r="D129" s="493"/>
      <c r="E129" s="493"/>
      <c r="F129" s="493"/>
      <c r="G129" s="493"/>
      <c r="H129" s="493"/>
      <c r="I129" s="493"/>
      <c r="J129" s="493"/>
    </row>
    <row r="130" spans="1:10" x14ac:dyDescent="0.25">
      <c r="A130" s="211" t="s">
        <v>85</v>
      </c>
      <c r="B130" s="240">
        <v>3000</v>
      </c>
      <c r="C130" s="205"/>
      <c r="D130" s="205"/>
      <c r="E130" s="205"/>
      <c r="F130" s="205"/>
      <c r="G130" s="205"/>
      <c r="H130" s="205"/>
      <c r="I130" s="205"/>
      <c r="J130" s="205"/>
    </row>
    <row r="131" spans="1:10" ht="24" x14ac:dyDescent="0.25">
      <c r="A131" s="241" t="s">
        <v>87</v>
      </c>
      <c r="B131" s="238">
        <v>3001</v>
      </c>
      <c r="C131" s="205"/>
      <c r="D131" s="205"/>
      <c r="E131" s="205"/>
      <c r="F131" s="205"/>
      <c r="G131" s="205"/>
      <c r="H131" s="205"/>
      <c r="I131" s="205"/>
      <c r="J131" s="205"/>
    </row>
    <row r="132" spans="1:10" x14ac:dyDescent="0.25">
      <c r="A132" s="241" t="s">
        <v>88</v>
      </c>
      <c r="B132" s="238">
        <v>3002</v>
      </c>
      <c r="C132" s="205"/>
      <c r="D132" s="205"/>
      <c r="E132" s="205"/>
      <c r="F132" s="205"/>
      <c r="G132" s="205"/>
      <c r="H132" s="205"/>
      <c r="I132" s="205"/>
      <c r="J132" s="205"/>
    </row>
    <row r="133" spans="1:10" x14ac:dyDescent="0.25">
      <c r="A133" s="211" t="s">
        <v>89</v>
      </c>
      <c r="B133" s="240">
        <v>3100</v>
      </c>
      <c r="C133" s="205"/>
      <c r="D133" s="205"/>
      <c r="E133" s="205"/>
      <c r="F133" s="205"/>
      <c r="G133" s="205"/>
      <c r="H133" s="205"/>
      <c r="I133" s="205"/>
      <c r="J133" s="205"/>
    </row>
    <row r="134" spans="1:10" x14ac:dyDescent="0.25">
      <c r="A134" s="206" t="s">
        <v>91</v>
      </c>
      <c r="B134" s="232">
        <v>3110</v>
      </c>
      <c r="C134" s="205"/>
      <c r="D134" s="205"/>
      <c r="E134" s="205"/>
      <c r="F134" s="205"/>
      <c r="G134" s="205"/>
      <c r="H134" s="205"/>
      <c r="I134" s="205"/>
      <c r="J134" s="205"/>
    </row>
    <row r="135" spans="1:10" x14ac:dyDescent="0.25">
      <c r="A135" s="214" t="s">
        <v>81</v>
      </c>
      <c r="B135" s="230">
        <v>3111</v>
      </c>
      <c r="C135" s="205"/>
      <c r="D135" s="205"/>
      <c r="E135" s="205"/>
      <c r="F135" s="205"/>
      <c r="G135" s="205"/>
      <c r="H135" s="205"/>
      <c r="I135" s="205"/>
      <c r="J135" s="205"/>
    </row>
    <row r="136" spans="1:10" x14ac:dyDescent="0.25">
      <c r="A136" s="206" t="s">
        <v>92</v>
      </c>
      <c r="B136" s="232">
        <v>3120</v>
      </c>
      <c r="C136" s="205"/>
      <c r="D136" s="205"/>
      <c r="E136" s="205"/>
      <c r="F136" s="205"/>
      <c r="G136" s="205"/>
      <c r="H136" s="205"/>
      <c r="I136" s="205"/>
      <c r="J136" s="205"/>
    </row>
    <row r="137" spans="1:10" x14ac:dyDescent="0.25">
      <c r="A137" s="214" t="s">
        <v>81</v>
      </c>
      <c r="B137" s="230">
        <v>3121</v>
      </c>
      <c r="C137" s="205"/>
      <c r="D137" s="205"/>
      <c r="E137" s="205"/>
      <c r="F137" s="205"/>
      <c r="G137" s="205"/>
      <c r="H137" s="205"/>
      <c r="I137" s="205"/>
      <c r="J137" s="205"/>
    </row>
    <row r="138" spans="1:10" ht="24" x14ac:dyDescent="0.25">
      <c r="A138" s="206" t="s">
        <v>93</v>
      </c>
      <c r="B138" s="232">
        <v>3130</v>
      </c>
      <c r="C138" s="205"/>
      <c r="D138" s="205"/>
      <c r="E138" s="205"/>
      <c r="F138" s="205"/>
      <c r="G138" s="205"/>
      <c r="H138" s="205"/>
      <c r="I138" s="205"/>
      <c r="J138" s="205"/>
    </row>
    <row r="139" spans="1:10" x14ac:dyDescent="0.25">
      <c r="A139" s="214" t="s">
        <v>81</v>
      </c>
      <c r="B139" s="230">
        <v>3131</v>
      </c>
      <c r="C139" s="205"/>
      <c r="D139" s="205"/>
      <c r="E139" s="205"/>
      <c r="F139" s="205"/>
      <c r="G139" s="205"/>
      <c r="H139" s="205"/>
      <c r="I139" s="205"/>
      <c r="J139" s="205"/>
    </row>
    <row r="140" spans="1:10" x14ac:dyDescent="0.25">
      <c r="A140" s="206" t="s">
        <v>94</v>
      </c>
      <c r="B140" s="232">
        <v>3140</v>
      </c>
      <c r="C140" s="205"/>
      <c r="D140" s="205"/>
      <c r="E140" s="205"/>
      <c r="F140" s="205"/>
      <c r="G140" s="205"/>
      <c r="H140" s="205"/>
      <c r="I140" s="205"/>
      <c r="J140" s="205"/>
    </row>
    <row r="141" spans="1:10" x14ac:dyDescent="0.25">
      <c r="A141" s="214" t="s">
        <v>81</v>
      </c>
      <c r="B141" s="230">
        <v>3141</v>
      </c>
      <c r="C141" s="205"/>
      <c r="D141" s="205"/>
      <c r="E141" s="205"/>
      <c r="F141" s="205"/>
      <c r="G141" s="205"/>
      <c r="H141" s="205"/>
      <c r="I141" s="205"/>
      <c r="J141" s="205"/>
    </row>
    <row r="142" spans="1:10" ht="24" x14ac:dyDescent="0.25">
      <c r="A142" s="206" t="s">
        <v>95</v>
      </c>
      <c r="B142" s="232">
        <v>3150</v>
      </c>
      <c r="C142" s="205"/>
      <c r="D142" s="205"/>
      <c r="E142" s="205"/>
      <c r="F142" s="205"/>
      <c r="G142" s="205"/>
      <c r="H142" s="205"/>
      <c r="I142" s="205"/>
      <c r="J142" s="205"/>
    </row>
    <row r="143" spans="1:10" x14ac:dyDescent="0.25">
      <c r="A143" s="214" t="s">
        <v>81</v>
      </c>
      <c r="B143" s="230">
        <v>3151</v>
      </c>
      <c r="C143" s="205"/>
      <c r="D143" s="205"/>
      <c r="E143" s="205"/>
      <c r="F143" s="205"/>
      <c r="G143" s="205"/>
      <c r="H143" s="205"/>
      <c r="I143" s="205"/>
      <c r="J143" s="205"/>
    </row>
    <row r="144" spans="1:10" x14ac:dyDescent="0.25">
      <c r="A144" s="206" t="s">
        <v>96</v>
      </c>
      <c r="B144" s="232">
        <v>3160</v>
      </c>
      <c r="C144" s="205"/>
      <c r="D144" s="205"/>
      <c r="E144" s="205"/>
      <c r="F144" s="205"/>
      <c r="G144" s="205"/>
      <c r="H144" s="205"/>
      <c r="I144" s="205"/>
      <c r="J144" s="205"/>
    </row>
    <row r="145" spans="1:10" x14ac:dyDescent="0.25">
      <c r="A145" s="214" t="s">
        <v>81</v>
      </c>
      <c r="B145" s="230">
        <v>3161</v>
      </c>
      <c r="C145" s="205"/>
      <c r="D145" s="205"/>
      <c r="E145" s="205"/>
      <c r="F145" s="205"/>
      <c r="G145" s="205"/>
      <c r="H145" s="205"/>
      <c r="I145" s="205"/>
      <c r="J145" s="205"/>
    </row>
    <row r="146" spans="1:10" x14ac:dyDescent="0.25">
      <c r="A146" s="478" t="s">
        <v>97</v>
      </c>
      <c r="B146" s="478"/>
      <c r="C146" s="478"/>
      <c r="D146" s="478"/>
      <c r="E146" s="478"/>
      <c r="F146" s="478"/>
      <c r="G146" s="478"/>
      <c r="H146" s="478"/>
      <c r="I146" s="478"/>
      <c r="J146" s="478"/>
    </row>
    <row r="147" spans="1:10" ht="24" x14ac:dyDescent="0.25">
      <c r="A147" s="203" t="s">
        <v>98</v>
      </c>
      <c r="B147" s="234">
        <v>4000</v>
      </c>
      <c r="C147" s="205"/>
      <c r="D147" s="205"/>
      <c r="E147" s="205"/>
      <c r="F147" s="205"/>
      <c r="G147" s="205"/>
      <c r="H147" s="205"/>
      <c r="I147" s="205"/>
      <c r="J147" s="205"/>
    </row>
    <row r="148" spans="1:10" x14ac:dyDescent="0.25">
      <c r="A148" s="242" t="s">
        <v>100</v>
      </c>
      <c r="B148" s="224">
        <v>4001</v>
      </c>
      <c r="C148" s="205"/>
      <c r="D148" s="205"/>
      <c r="E148" s="205"/>
      <c r="F148" s="205"/>
      <c r="G148" s="205"/>
      <c r="H148" s="205"/>
      <c r="I148" s="205"/>
      <c r="J148" s="205"/>
    </row>
    <row r="149" spans="1:10" x14ac:dyDescent="0.25">
      <c r="A149" s="242" t="s">
        <v>101</v>
      </c>
      <c r="B149" s="224">
        <v>4002</v>
      </c>
      <c r="C149" s="205"/>
      <c r="D149" s="205"/>
      <c r="E149" s="205"/>
      <c r="F149" s="205"/>
      <c r="G149" s="205"/>
      <c r="H149" s="205"/>
      <c r="I149" s="205"/>
      <c r="J149" s="205"/>
    </row>
    <row r="150" spans="1:10" x14ac:dyDescent="0.25">
      <c r="A150" s="242" t="s">
        <v>102</v>
      </c>
      <c r="B150" s="224">
        <v>4003</v>
      </c>
      <c r="C150" s="205"/>
      <c r="D150" s="205"/>
      <c r="E150" s="205"/>
      <c r="F150" s="205"/>
      <c r="G150" s="205"/>
      <c r="H150" s="205"/>
      <c r="I150" s="205"/>
      <c r="J150" s="205"/>
    </row>
    <row r="151" spans="1:10" x14ac:dyDescent="0.25">
      <c r="A151" s="243" t="s">
        <v>103</v>
      </c>
      <c r="B151" s="229">
        <v>4010</v>
      </c>
      <c r="C151" s="205"/>
      <c r="D151" s="205"/>
      <c r="E151" s="205"/>
      <c r="F151" s="205"/>
      <c r="G151" s="205"/>
      <c r="H151" s="205"/>
      <c r="I151" s="205"/>
      <c r="J151" s="205"/>
    </row>
    <row r="152" spans="1:10" ht="24" x14ac:dyDescent="0.25">
      <c r="A152" s="203" t="s">
        <v>104</v>
      </c>
      <c r="B152" s="234">
        <v>4020</v>
      </c>
      <c r="C152" s="205"/>
      <c r="D152" s="205"/>
      <c r="E152" s="205"/>
      <c r="F152" s="205"/>
      <c r="G152" s="205"/>
      <c r="H152" s="205"/>
      <c r="I152" s="205"/>
      <c r="J152" s="205"/>
    </row>
    <row r="153" spans="1:10" x14ac:dyDescent="0.25">
      <c r="A153" s="242" t="s">
        <v>100</v>
      </c>
      <c r="B153" s="224">
        <v>4021</v>
      </c>
      <c r="C153" s="205"/>
      <c r="D153" s="205"/>
      <c r="E153" s="205"/>
      <c r="F153" s="205"/>
      <c r="G153" s="205"/>
      <c r="H153" s="205"/>
      <c r="I153" s="205"/>
      <c r="J153" s="205"/>
    </row>
    <row r="154" spans="1:10" x14ac:dyDescent="0.25">
      <c r="A154" s="242" t="s">
        <v>101</v>
      </c>
      <c r="B154" s="224">
        <v>4022</v>
      </c>
      <c r="C154" s="205"/>
      <c r="D154" s="205"/>
      <c r="E154" s="205"/>
      <c r="F154" s="205"/>
      <c r="G154" s="205"/>
      <c r="H154" s="205"/>
      <c r="I154" s="205"/>
      <c r="J154" s="205"/>
    </row>
    <row r="155" spans="1:10" x14ac:dyDescent="0.25">
      <c r="A155" s="242" t="s">
        <v>102</v>
      </c>
      <c r="B155" s="224">
        <v>4023</v>
      </c>
      <c r="C155" s="205"/>
      <c r="D155" s="205"/>
      <c r="E155" s="205"/>
      <c r="F155" s="205"/>
      <c r="G155" s="205"/>
      <c r="H155" s="205"/>
      <c r="I155" s="205"/>
      <c r="J155" s="205"/>
    </row>
    <row r="156" spans="1:10" x14ac:dyDescent="0.25">
      <c r="A156" s="243" t="s">
        <v>106</v>
      </c>
      <c r="B156" s="229">
        <v>4030</v>
      </c>
      <c r="C156" s="205"/>
      <c r="D156" s="205"/>
      <c r="E156" s="205"/>
      <c r="F156" s="205"/>
      <c r="G156" s="205"/>
      <c r="H156" s="205"/>
      <c r="I156" s="205"/>
      <c r="J156" s="205"/>
    </row>
    <row r="157" spans="1:10" x14ac:dyDescent="0.25">
      <c r="A157" s="478" t="s">
        <v>107</v>
      </c>
      <c r="B157" s="478"/>
      <c r="C157" s="478"/>
      <c r="D157" s="478"/>
      <c r="E157" s="478"/>
      <c r="F157" s="478"/>
      <c r="G157" s="478"/>
      <c r="H157" s="478"/>
      <c r="I157" s="478"/>
      <c r="J157" s="478"/>
    </row>
    <row r="158" spans="1:10" ht="24" x14ac:dyDescent="0.25">
      <c r="A158" s="244" t="s">
        <v>437</v>
      </c>
      <c r="B158" s="245">
        <v>5000</v>
      </c>
      <c r="C158" s="205"/>
      <c r="D158" s="205"/>
      <c r="E158" s="205"/>
      <c r="F158" s="205"/>
      <c r="G158" s="205"/>
      <c r="H158" s="205"/>
      <c r="I158" s="205"/>
      <c r="J158" s="205"/>
    </row>
    <row r="159" spans="1:10" ht="24" x14ac:dyDescent="0.25">
      <c r="A159" s="244" t="s">
        <v>276</v>
      </c>
      <c r="B159" s="245">
        <v>5010</v>
      </c>
      <c r="C159" s="205"/>
      <c r="D159" s="205"/>
      <c r="E159" s="205"/>
      <c r="F159" s="205"/>
      <c r="G159" s="205"/>
      <c r="H159" s="205"/>
      <c r="I159" s="205"/>
      <c r="J159" s="205"/>
    </row>
    <row r="160" spans="1:10" x14ac:dyDescent="0.25">
      <c r="A160" s="243" t="s">
        <v>438</v>
      </c>
      <c r="B160" s="232">
        <v>5020</v>
      </c>
      <c r="C160" s="205"/>
      <c r="D160" s="205"/>
      <c r="E160" s="205"/>
      <c r="F160" s="205"/>
      <c r="G160" s="205"/>
      <c r="H160" s="205"/>
      <c r="I160" s="205"/>
      <c r="J160" s="205"/>
    </row>
    <row r="161" spans="1:10" x14ac:dyDescent="0.25">
      <c r="A161" s="246" t="s">
        <v>109</v>
      </c>
      <c r="B161" s="230">
        <v>5021</v>
      </c>
      <c r="C161" s="205"/>
      <c r="D161" s="205"/>
      <c r="E161" s="205"/>
      <c r="F161" s="205"/>
      <c r="G161" s="205"/>
      <c r="H161" s="205"/>
      <c r="I161" s="205"/>
      <c r="J161" s="205"/>
    </row>
    <row r="162" spans="1:10" x14ac:dyDescent="0.25">
      <c r="A162" s="246" t="s">
        <v>110</v>
      </c>
      <c r="B162" s="230">
        <v>5022</v>
      </c>
      <c r="C162" s="205"/>
      <c r="D162" s="205"/>
      <c r="E162" s="205"/>
      <c r="F162" s="205"/>
      <c r="G162" s="205"/>
      <c r="H162" s="205"/>
      <c r="I162" s="205"/>
      <c r="J162" s="205"/>
    </row>
    <row r="163" spans="1:10" x14ac:dyDescent="0.25">
      <c r="A163" s="247" t="s">
        <v>274</v>
      </c>
      <c r="B163" s="232">
        <v>5030</v>
      </c>
      <c r="C163" s="205"/>
      <c r="D163" s="205"/>
      <c r="E163" s="205"/>
      <c r="F163" s="205"/>
      <c r="G163" s="205"/>
      <c r="H163" s="205"/>
      <c r="I163" s="205"/>
      <c r="J163" s="205"/>
    </row>
    <row r="164" spans="1:10" x14ac:dyDescent="0.25">
      <c r="A164" s="246" t="s">
        <v>109</v>
      </c>
      <c r="B164" s="230">
        <v>5031</v>
      </c>
      <c r="C164" s="205"/>
      <c r="D164" s="205"/>
      <c r="E164" s="205"/>
      <c r="F164" s="205"/>
      <c r="G164" s="205"/>
      <c r="H164" s="205"/>
      <c r="I164" s="205"/>
      <c r="J164" s="205"/>
    </row>
    <row r="165" spans="1:10" x14ac:dyDescent="0.25">
      <c r="A165" s="246" t="s">
        <v>110</v>
      </c>
      <c r="B165" s="230">
        <v>5032</v>
      </c>
      <c r="C165" s="205"/>
      <c r="D165" s="205"/>
      <c r="E165" s="205"/>
      <c r="F165" s="205"/>
      <c r="G165" s="205"/>
      <c r="H165" s="205"/>
      <c r="I165" s="205"/>
      <c r="J165" s="205"/>
    </row>
    <row r="166" spans="1:10" ht="24.75" x14ac:dyDescent="0.25">
      <c r="A166" s="247" t="s">
        <v>275</v>
      </c>
      <c r="B166" s="232">
        <v>5040</v>
      </c>
      <c r="C166" s="205"/>
      <c r="D166" s="205"/>
      <c r="E166" s="205"/>
      <c r="F166" s="205"/>
      <c r="G166" s="205"/>
      <c r="H166" s="205"/>
      <c r="I166" s="205"/>
      <c r="J166" s="205"/>
    </row>
    <row r="167" spans="1:10" x14ac:dyDescent="0.25">
      <c r="A167" s="246" t="s">
        <v>109</v>
      </c>
      <c r="B167" s="230">
        <v>5041</v>
      </c>
      <c r="C167" s="205"/>
      <c r="D167" s="205"/>
      <c r="E167" s="205"/>
      <c r="F167" s="205"/>
      <c r="G167" s="205"/>
      <c r="H167" s="205"/>
      <c r="I167" s="205"/>
      <c r="J167" s="205"/>
    </row>
    <row r="168" spans="1:10" x14ac:dyDescent="0.25">
      <c r="A168" s="246" t="s">
        <v>110</v>
      </c>
      <c r="B168" s="230">
        <v>5042</v>
      </c>
      <c r="C168" s="205"/>
      <c r="D168" s="205"/>
      <c r="E168" s="205"/>
      <c r="F168" s="205"/>
      <c r="G168" s="205"/>
      <c r="H168" s="205"/>
      <c r="I168" s="205"/>
      <c r="J168" s="205"/>
    </row>
    <row r="169" spans="1:10" x14ac:dyDescent="0.25">
      <c r="A169" s="243" t="s">
        <v>439</v>
      </c>
      <c r="B169" s="232">
        <v>5050</v>
      </c>
      <c r="C169" s="205"/>
      <c r="D169" s="205"/>
      <c r="E169" s="205"/>
      <c r="F169" s="205"/>
      <c r="G169" s="205"/>
      <c r="H169" s="205"/>
      <c r="I169" s="205"/>
      <c r="J169" s="205"/>
    </row>
    <row r="170" spans="1:10" ht="36" x14ac:dyDescent="0.25">
      <c r="A170" s="203" t="s">
        <v>108</v>
      </c>
      <c r="B170" s="234">
        <v>5060</v>
      </c>
      <c r="C170" s="205"/>
      <c r="D170" s="205"/>
      <c r="E170" s="205"/>
      <c r="F170" s="205"/>
      <c r="G170" s="205"/>
      <c r="H170" s="205"/>
      <c r="I170" s="205"/>
      <c r="J170" s="205"/>
    </row>
    <row r="171" spans="1:10" x14ac:dyDescent="0.25">
      <c r="A171" s="243" t="s">
        <v>109</v>
      </c>
      <c r="B171" s="229">
        <v>5061</v>
      </c>
      <c r="C171" s="205"/>
      <c r="D171" s="205"/>
      <c r="E171" s="205"/>
      <c r="F171" s="205"/>
      <c r="G171" s="205"/>
      <c r="H171" s="205"/>
      <c r="I171" s="205"/>
      <c r="J171" s="205"/>
    </row>
    <row r="172" spans="1:10" x14ac:dyDescent="0.25">
      <c r="A172" s="243" t="s">
        <v>110</v>
      </c>
      <c r="B172" s="229">
        <v>5062</v>
      </c>
      <c r="C172" s="205"/>
      <c r="D172" s="205"/>
      <c r="E172" s="205"/>
      <c r="F172" s="205"/>
      <c r="G172" s="205"/>
      <c r="H172" s="205"/>
      <c r="I172" s="205"/>
      <c r="J172" s="205"/>
    </row>
    <row r="173" spans="1:10" x14ac:dyDescent="0.25">
      <c r="A173" s="478" t="s">
        <v>277</v>
      </c>
      <c r="B173" s="478"/>
      <c r="C173" s="478"/>
      <c r="D173" s="478"/>
      <c r="E173" s="478"/>
      <c r="F173" s="478"/>
      <c r="G173" s="478"/>
      <c r="H173" s="478"/>
      <c r="I173" s="478"/>
      <c r="J173" s="478"/>
    </row>
    <row r="174" spans="1:10" ht="24" x14ac:dyDescent="0.25">
      <c r="A174" s="243" t="s">
        <v>278</v>
      </c>
      <c r="B174" s="248">
        <v>6000</v>
      </c>
      <c r="C174" s="205"/>
      <c r="D174" s="205"/>
      <c r="E174" s="205"/>
      <c r="F174" s="205"/>
      <c r="G174" s="205"/>
      <c r="H174" s="205"/>
      <c r="I174" s="205"/>
      <c r="J174" s="205"/>
    </row>
    <row r="175" spans="1:10" ht="24" x14ac:dyDescent="0.25">
      <c r="A175" s="243" t="s">
        <v>279</v>
      </c>
      <c r="B175" s="248">
        <v>6010</v>
      </c>
      <c r="C175" s="205"/>
      <c r="D175" s="205"/>
      <c r="E175" s="205"/>
      <c r="F175" s="205"/>
      <c r="G175" s="205"/>
      <c r="H175" s="205"/>
      <c r="I175" s="205"/>
      <c r="J175" s="205"/>
    </row>
    <row r="176" spans="1:10" x14ac:dyDescent="0.25">
      <c r="A176" s="243" t="s">
        <v>280</v>
      </c>
      <c r="B176" s="248">
        <v>6020</v>
      </c>
      <c r="C176" s="205"/>
      <c r="D176" s="205"/>
      <c r="E176" s="205"/>
      <c r="F176" s="205"/>
      <c r="G176" s="205"/>
      <c r="H176" s="205"/>
      <c r="I176" s="205"/>
      <c r="J176" s="205"/>
    </row>
    <row r="177" spans="1:10" ht="24" x14ac:dyDescent="0.25">
      <c r="A177" s="246" t="s">
        <v>281</v>
      </c>
      <c r="B177" s="249">
        <v>6021</v>
      </c>
      <c r="C177" s="205"/>
      <c r="D177" s="205"/>
      <c r="E177" s="205"/>
      <c r="F177" s="205"/>
      <c r="G177" s="205"/>
      <c r="H177" s="205"/>
      <c r="I177" s="205"/>
      <c r="J177" s="205"/>
    </row>
    <row r="178" spans="1:10" x14ac:dyDescent="0.25">
      <c r="A178" s="243" t="s">
        <v>282</v>
      </c>
      <c r="B178" s="248">
        <v>6030</v>
      </c>
      <c r="C178" s="205"/>
      <c r="D178" s="205"/>
      <c r="E178" s="205"/>
      <c r="F178" s="205"/>
      <c r="G178" s="205"/>
      <c r="H178" s="205"/>
      <c r="I178" s="205"/>
      <c r="J178" s="205"/>
    </row>
    <row r="179" spans="1:10" x14ac:dyDescent="0.25">
      <c r="A179" s="243" t="s">
        <v>283</v>
      </c>
      <c r="B179" s="248">
        <v>6040</v>
      </c>
      <c r="C179" s="205"/>
      <c r="D179" s="205"/>
      <c r="E179" s="205"/>
      <c r="F179" s="205"/>
      <c r="G179" s="205"/>
      <c r="H179" s="205"/>
      <c r="I179" s="205"/>
      <c r="J179" s="205"/>
    </row>
    <row r="180" spans="1:10" x14ac:dyDescent="0.25">
      <c r="A180" s="243" t="s">
        <v>284</v>
      </c>
      <c r="B180" s="248">
        <v>6050</v>
      </c>
      <c r="C180" s="205"/>
      <c r="D180" s="205"/>
      <c r="E180" s="205"/>
      <c r="F180" s="205"/>
      <c r="G180" s="205"/>
      <c r="H180" s="205"/>
      <c r="I180" s="205"/>
      <c r="J180" s="205"/>
    </row>
    <row r="181" spans="1:10" ht="24" x14ac:dyDescent="0.25">
      <c r="A181" s="243" t="s">
        <v>285</v>
      </c>
      <c r="B181" s="248">
        <v>6060</v>
      </c>
      <c r="C181" s="205"/>
      <c r="D181" s="205"/>
      <c r="E181" s="205"/>
      <c r="F181" s="205"/>
      <c r="G181" s="205"/>
      <c r="H181" s="205"/>
      <c r="I181" s="205"/>
      <c r="J181" s="205"/>
    </row>
    <row r="182" spans="1:10" x14ac:dyDescent="0.25">
      <c r="A182" s="478" t="s">
        <v>441</v>
      </c>
      <c r="B182" s="478"/>
      <c r="C182" s="478"/>
      <c r="D182" s="478"/>
      <c r="E182" s="478"/>
      <c r="F182" s="478"/>
      <c r="G182" s="478"/>
      <c r="H182" s="478"/>
      <c r="I182" s="478"/>
      <c r="J182" s="478"/>
    </row>
    <row r="183" spans="1:10" x14ac:dyDescent="0.25">
      <c r="A183" s="203" t="s">
        <v>111</v>
      </c>
      <c r="B183" s="203"/>
      <c r="C183" s="205"/>
      <c r="D183" s="205"/>
      <c r="E183" s="205"/>
      <c r="F183" s="205"/>
      <c r="G183" s="205"/>
      <c r="H183" s="205"/>
      <c r="I183" s="205"/>
      <c r="J183" s="205"/>
    </row>
    <row r="184" spans="1:10" ht="60" x14ac:dyDescent="0.25">
      <c r="A184" s="206" t="s">
        <v>116</v>
      </c>
      <c r="B184" s="248">
        <v>7000</v>
      </c>
      <c r="C184" s="205"/>
      <c r="D184" s="205"/>
      <c r="E184" s="205"/>
      <c r="F184" s="205"/>
      <c r="G184" s="205"/>
      <c r="H184" s="205"/>
      <c r="I184" s="205"/>
      <c r="J184" s="205"/>
    </row>
    <row r="185" spans="1:10" x14ac:dyDescent="0.25">
      <c r="A185" s="241" t="s">
        <v>289</v>
      </c>
      <c r="B185" s="249">
        <v>7001</v>
      </c>
      <c r="C185" s="205"/>
      <c r="D185" s="205"/>
      <c r="E185" s="205"/>
      <c r="F185" s="205"/>
      <c r="G185" s="205"/>
      <c r="H185" s="205"/>
      <c r="I185" s="205"/>
      <c r="J185" s="205"/>
    </row>
    <row r="186" spans="1:10" x14ac:dyDescent="0.25">
      <c r="A186" s="241" t="s">
        <v>288</v>
      </c>
      <c r="B186" s="249">
        <v>7002</v>
      </c>
      <c r="C186" s="205"/>
      <c r="D186" s="205"/>
      <c r="E186" s="205"/>
      <c r="F186" s="205"/>
      <c r="G186" s="205"/>
      <c r="H186" s="205"/>
      <c r="I186" s="205"/>
      <c r="J186" s="205"/>
    </row>
    <row r="187" spans="1:10" x14ac:dyDescent="0.25">
      <c r="A187" s="214" t="s">
        <v>291</v>
      </c>
      <c r="B187" s="249" t="s">
        <v>295</v>
      </c>
      <c r="C187" s="205"/>
      <c r="D187" s="205"/>
      <c r="E187" s="205"/>
      <c r="F187" s="205"/>
      <c r="G187" s="205"/>
      <c r="H187" s="205"/>
      <c r="I187" s="205"/>
      <c r="J187" s="205"/>
    </row>
    <row r="188" spans="1:10" x14ac:dyDescent="0.25">
      <c r="A188" s="214" t="s">
        <v>290</v>
      </c>
      <c r="B188" s="249" t="s">
        <v>296</v>
      </c>
      <c r="C188" s="205"/>
      <c r="D188" s="205"/>
      <c r="E188" s="205"/>
      <c r="F188" s="205"/>
      <c r="G188" s="205"/>
      <c r="H188" s="205"/>
      <c r="I188" s="205"/>
      <c r="J188" s="205"/>
    </row>
    <row r="189" spans="1:10" x14ac:dyDescent="0.25">
      <c r="A189" s="214" t="s">
        <v>292</v>
      </c>
      <c r="B189" s="249" t="s">
        <v>297</v>
      </c>
      <c r="C189" s="205"/>
      <c r="D189" s="205"/>
      <c r="E189" s="205"/>
      <c r="F189" s="205"/>
      <c r="G189" s="205"/>
      <c r="H189" s="205"/>
      <c r="I189" s="205"/>
      <c r="J189" s="205"/>
    </row>
    <row r="190" spans="1:10" x14ac:dyDescent="0.25">
      <c r="A190" s="214" t="s">
        <v>293</v>
      </c>
      <c r="B190" s="249" t="s">
        <v>298</v>
      </c>
      <c r="C190" s="205"/>
      <c r="D190" s="205"/>
      <c r="E190" s="205"/>
      <c r="F190" s="205"/>
      <c r="G190" s="205"/>
      <c r="H190" s="205"/>
      <c r="I190" s="205"/>
      <c r="J190" s="205"/>
    </row>
    <row r="191" spans="1:10" x14ac:dyDescent="0.25">
      <c r="A191" s="241" t="s">
        <v>287</v>
      </c>
      <c r="B191" s="249">
        <v>7003</v>
      </c>
      <c r="C191" s="205"/>
      <c r="D191" s="205"/>
      <c r="E191" s="205"/>
      <c r="F191" s="205"/>
      <c r="G191" s="205"/>
      <c r="H191" s="205"/>
      <c r="I191" s="205"/>
      <c r="J191" s="205"/>
    </row>
    <row r="192" spans="1:10" x14ac:dyDescent="0.25">
      <c r="A192" s="241" t="s">
        <v>294</v>
      </c>
      <c r="B192" s="249">
        <v>7004</v>
      </c>
      <c r="C192" s="205"/>
      <c r="D192" s="205"/>
      <c r="E192" s="205"/>
      <c r="F192" s="205"/>
      <c r="G192" s="205"/>
      <c r="H192" s="205"/>
      <c r="I192" s="205"/>
      <c r="J192" s="205"/>
    </row>
    <row r="193" spans="1:10" ht="24" x14ac:dyDescent="0.25">
      <c r="A193" s="206" t="s">
        <v>117</v>
      </c>
      <c r="B193" s="248">
        <v>7010</v>
      </c>
      <c r="C193" s="205"/>
      <c r="D193" s="205"/>
      <c r="E193" s="205"/>
      <c r="F193" s="205"/>
      <c r="G193" s="205"/>
      <c r="H193" s="205"/>
      <c r="I193" s="205"/>
      <c r="J193" s="205"/>
    </row>
    <row r="194" spans="1:10" x14ac:dyDescent="0.25">
      <c r="A194" s="241" t="s">
        <v>289</v>
      </c>
      <c r="B194" s="249">
        <v>7011</v>
      </c>
      <c r="C194" s="205"/>
      <c r="D194" s="205"/>
      <c r="E194" s="205"/>
      <c r="F194" s="205"/>
      <c r="G194" s="205"/>
      <c r="H194" s="205"/>
      <c r="I194" s="205"/>
      <c r="J194" s="205"/>
    </row>
    <row r="195" spans="1:10" x14ac:dyDescent="0.25">
      <c r="A195" s="241" t="s">
        <v>288</v>
      </c>
      <c r="B195" s="249">
        <v>7012</v>
      </c>
      <c r="C195" s="205"/>
      <c r="D195" s="205"/>
      <c r="E195" s="205"/>
      <c r="F195" s="205"/>
      <c r="G195" s="205"/>
      <c r="H195" s="205"/>
      <c r="I195" s="205"/>
      <c r="J195" s="205"/>
    </row>
    <row r="196" spans="1:10" x14ac:dyDescent="0.25">
      <c r="A196" s="214" t="s">
        <v>291</v>
      </c>
      <c r="B196" s="249" t="s">
        <v>299</v>
      </c>
      <c r="C196" s="205"/>
      <c r="D196" s="205"/>
      <c r="E196" s="205"/>
      <c r="F196" s="205"/>
      <c r="G196" s="205"/>
      <c r="H196" s="205"/>
      <c r="I196" s="205"/>
      <c r="J196" s="205"/>
    </row>
    <row r="197" spans="1:10" x14ac:dyDescent="0.25">
      <c r="A197" s="214" t="s">
        <v>290</v>
      </c>
      <c r="B197" s="249" t="s">
        <v>300</v>
      </c>
      <c r="C197" s="205"/>
      <c r="D197" s="205"/>
      <c r="E197" s="205"/>
      <c r="F197" s="205"/>
      <c r="G197" s="205"/>
      <c r="H197" s="205"/>
      <c r="I197" s="205"/>
      <c r="J197" s="205"/>
    </row>
    <row r="198" spans="1:10" x14ac:dyDescent="0.25">
      <c r="A198" s="214" t="s">
        <v>292</v>
      </c>
      <c r="B198" s="249" t="s">
        <v>301</v>
      </c>
      <c r="C198" s="205"/>
      <c r="D198" s="205"/>
      <c r="E198" s="205"/>
      <c r="F198" s="205"/>
      <c r="G198" s="205"/>
      <c r="H198" s="205"/>
      <c r="I198" s="205"/>
      <c r="J198" s="205"/>
    </row>
    <row r="199" spans="1:10" x14ac:dyDescent="0.25">
      <c r="A199" s="214" t="s">
        <v>293</v>
      </c>
      <c r="B199" s="249" t="s">
        <v>302</v>
      </c>
      <c r="C199" s="205"/>
      <c r="D199" s="205"/>
      <c r="E199" s="205"/>
      <c r="F199" s="205"/>
      <c r="G199" s="205"/>
      <c r="H199" s="205"/>
      <c r="I199" s="205"/>
      <c r="J199" s="205"/>
    </row>
    <row r="200" spans="1:10" x14ac:dyDescent="0.25">
      <c r="A200" s="241" t="s">
        <v>287</v>
      </c>
      <c r="B200" s="249">
        <v>7013</v>
      </c>
      <c r="C200" s="205"/>
      <c r="D200" s="205"/>
      <c r="E200" s="205"/>
      <c r="F200" s="205"/>
      <c r="G200" s="205"/>
      <c r="H200" s="205"/>
      <c r="I200" s="205"/>
      <c r="J200" s="205"/>
    </row>
    <row r="201" spans="1:10" x14ac:dyDescent="0.25">
      <c r="A201" s="241" t="s">
        <v>294</v>
      </c>
      <c r="B201" s="249">
        <v>7014</v>
      </c>
      <c r="C201" s="205"/>
      <c r="D201" s="205"/>
      <c r="E201" s="205"/>
      <c r="F201" s="205"/>
      <c r="G201" s="205"/>
      <c r="H201" s="205"/>
      <c r="I201" s="205"/>
      <c r="J201" s="205"/>
    </row>
    <row r="202" spans="1:10" ht="36" x14ac:dyDescent="0.25">
      <c r="A202" s="206" t="s">
        <v>118</v>
      </c>
      <c r="B202" s="248">
        <v>7020</v>
      </c>
      <c r="C202" s="205"/>
      <c r="D202" s="205"/>
      <c r="E202" s="205"/>
      <c r="F202" s="205"/>
      <c r="G202" s="205"/>
      <c r="H202" s="205"/>
      <c r="I202" s="205"/>
      <c r="J202" s="205"/>
    </row>
    <row r="203" spans="1:10" x14ac:dyDescent="0.25">
      <c r="A203" s="241" t="s">
        <v>289</v>
      </c>
      <c r="B203" s="249">
        <v>7021</v>
      </c>
      <c r="C203" s="205"/>
      <c r="D203" s="205"/>
      <c r="E203" s="205"/>
      <c r="F203" s="205"/>
      <c r="G203" s="205"/>
      <c r="H203" s="205"/>
      <c r="I203" s="205"/>
      <c r="J203" s="205"/>
    </row>
    <row r="204" spans="1:10" x14ac:dyDescent="0.25">
      <c r="A204" s="241" t="s">
        <v>288</v>
      </c>
      <c r="B204" s="249">
        <v>7022</v>
      </c>
      <c r="C204" s="205"/>
      <c r="D204" s="205"/>
      <c r="E204" s="205"/>
      <c r="F204" s="205"/>
      <c r="G204" s="205"/>
      <c r="H204" s="205"/>
      <c r="I204" s="205"/>
      <c r="J204" s="205"/>
    </row>
    <row r="205" spans="1:10" x14ac:dyDescent="0.25">
      <c r="A205" s="214" t="s">
        <v>291</v>
      </c>
      <c r="B205" s="249" t="s">
        <v>303</v>
      </c>
      <c r="C205" s="205"/>
      <c r="D205" s="205"/>
      <c r="E205" s="205"/>
      <c r="F205" s="205"/>
      <c r="G205" s="205"/>
      <c r="H205" s="205"/>
      <c r="I205" s="205"/>
      <c r="J205" s="205"/>
    </row>
    <row r="206" spans="1:10" x14ac:dyDescent="0.25">
      <c r="A206" s="214" t="s">
        <v>290</v>
      </c>
      <c r="B206" s="249" t="s">
        <v>304</v>
      </c>
      <c r="C206" s="205"/>
      <c r="D206" s="205"/>
      <c r="E206" s="205"/>
      <c r="F206" s="205"/>
      <c r="G206" s="205"/>
      <c r="H206" s="205"/>
      <c r="I206" s="205"/>
      <c r="J206" s="205"/>
    </row>
    <row r="207" spans="1:10" x14ac:dyDescent="0.25">
      <c r="A207" s="214" t="s">
        <v>292</v>
      </c>
      <c r="B207" s="249" t="s">
        <v>305</v>
      </c>
      <c r="C207" s="205"/>
      <c r="D207" s="205"/>
      <c r="E207" s="205"/>
      <c r="F207" s="205"/>
      <c r="G207" s="205"/>
      <c r="H207" s="205"/>
      <c r="I207" s="205"/>
      <c r="J207" s="205"/>
    </row>
    <row r="208" spans="1:10" x14ac:dyDescent="0.25">
      <c r="A208" s="214" t="s">
        <v>293</v>
      </c>
      <c r="B208" s="249" t="s">
        <v>306</v>
      </c>
      <c r="C208" s="205"/>
      <c r="D208" s="205"/>
      <c r="E208" s="205"/>
      <c r="F208" s="205"/>
      <c r="G208" s="205"/>
      <c r="H208" s="205"/>
      <c r="I208" s="205"/>
      <c r="J208" s="205"/>
    </row>
    <row r="209" spans="1:10" x14ac:dyDescent="0.25">
      <c r="A209" s="241" t="s">
        <v>287</v>
      </c>
      <c r="B209" s="249">
        <v>7023</v>
      </c>
      <c r="C209" s="205"/>
      <c r="D209" s="205"/>
      <c r="E209" s="205"/>
      <c r="F209" s="205"/>
      <c r="G209" s="205"/>
      <c r="H209" s="205"/>
      <c r="I209" s="205"/>
      <c r="J209" s="205"/>
    </row>
    <row r="210" spans="1:10" x14ac:dyDescent="0.25">
      <c r="A210" s="241" t="s">
        <v>294</v>
      </c>
      <c r="B210" s="249">
        <v>7024</v>
      </c>
      <c r="C210" s="205"/>
      <c r="D210" s="205"/>
      <c r="E210" s="205"/>
      <c r="F210" s="205"/>
      <c r="G210" s="205"/>
      <c r="H210" s="205"/>
      <c r="I210" s="205"/>
      <c r="J210" s="205"/>
    </row>
    <row r="211" spans="1:10" ht="24" x14ac:dyDescent="0.25">
      <c r="A211" s="243" t="s">
        <v>119</v>
      </c>
      <c r="B211" s="248">
        <v>7030</v>
      </c>
      <c r="C211" s="205"/>
      <c r="D211" s="205"/>
      <c r="E211" s="205"/>
      <c r="F211" s="205"/>
      <c r="G211" s="205"/>
      <c r="H211" s="205"/>
      <c r="I211" s="205"/>
      <c r="J211" s="205"/>
    </row>
    <row r="212" spans="1:10" ht="24" x14ac:dyDescent="0.25">
      <c r="A212" s="250" t="s">
        <v>120</v>
      </c>
      <c r="B212" s="234"/>
      <c r="C212" s="205"/>
      <c r="D212" s="205"/>
      <c r="E212" s="205"/>
      <c r="F212" s="205"/>
      <c r="G212" s="205"/>
      <c r="H212" s="205"/>
      <c r="I212" s="205"/>
      <c r="J212" s="205"/>
    </row>
    <row r="213" spans="1:10" ht="24" x14ac:dyDescent="0.25">
      <c r="A213" s="251" t="s">
        <v>313</v>
      </c>
      <c r="B213" s="229">
        <v>7040</v>
      </c>
      <c r="C213" s="205"/>
      <c r="D213" s="205"/>
      <c r="E213" s="205"/>
      <c r="F213" s="205"/>
      <c r="G213" s="205"/>
      <c r="H213" s="205"/>
      <c r="I213" s="205"/>
      <c r="J213" s="205"/>
    </row>
    <row r="214" spans="1:10" x14ac:dyDescent="0.25">
      <c r="A214" s="252" t="s">
        <v>307</v>
      </c>
      <c r="B214" s="224">
        <v>7041</v>
      </c>
      <c r="C214" s="205"/>
      <c r="D214" s="205"/>
      <c r="E214" s="205"/>
      <c r="F214" s="205"/>
      <c r="G214" s="205"/>
      <c r="H214" s="205"/>
      <c r="I214" s="205"/>
      <c r="J214" s="205"/>
    </row>
    <row r="215" spans="1:10" ht="24.75" x14ac:dyDescent="0.25">
      <c r="A215" s="253" t="s">
        <v>308</v>
      </c>
      <c r="B215" s="224">
        <v>7042</v>
      </c>
      <c r="C215" s="205"/>
      <c r="D215" s="205"/>
      <c r="E215" s="205"/>
      <c r="F215" s="205"/>
      <c r="G215" s="205"/>
      <c r="H215" s="205"/>
      <c r="I215" s="205"/>
      <c r="J215" s="205"/>
    </row>
    <row r="216" spans="1:10" ht="24.75" x14ac:dyDescent="0.25">
      <c r="A216" s="253" t="s">
        <v>309</v>
      </c>
      <c r="B216" s="224">
        <v>7043</v>
      </c>
      <c r="C216" s="205"/>
      <c r="D216" s="205"/>
      <c r="E216" s="205"/>
      <c r="F216" s="205"/>
      <c r="G216" s="205"/>
      <c r="H216" s="205"/>
      <c r="I216" s="205"/>
      <c r="J216" s="205"/>
    </row>
    <row r="217" spans="1:10" x14ac:dyDescent="0.25">
      <c r="A217" s="253" t="s">
        <v>310</v>
      </c>
      <c r="B217" s="224">
        <v>7044</v>
      </c>
      <c r="C217" s="205"/>
      <c r="D217" s="205"/>
      <c r="E217" s="205"/>
      <c r="F217" s="205"/>
      <c r="G217" s="205"/>
      <c r="H217" s="205"/>
      <c r="I217" s="205"/>
      <c r="J217" s="205"/>
    </row>
    <row r="218" spans="1:10" x14ac:dyDescent="0.25">
      <c r="A218" s="253" t="s">
        <v>311</v>
      </c>
      <c r="B218" s="224">
        <v>7045</v>
      </c>
      <c r="C218" s="205"/>
      <c r="D218" s="205"/>
      <c r="E218" s="205"/>
      <c r="F218" s="205"/>
      <c r="G218" s="205"/>
      <c r="H218" s="205"/>
      <c r="I218" s="205"/>
      <c r="J218" s="205"/>
    </row>
    <row r="219" spans="1:10" x14ac:dyDescent="0.25">
      <c r="A219" s="253" t="s">
        <v>312</v>
      </c>
      <c r="B219" s="224">
        <v>7046</v>
      </c>
      <c r="C219" s="205"/>
      <c r="D219" s="205"/>
      <c r="E219" s="205"/>
      <c r="F219" s="205"/>
      <c r="G219" s="205"/>
      <c r="H219" s="205"/>
      <c r="I219" s="205"/>
      <c r="J219" s="205"/>
    </row>
    <row r="220" spans="1:10" x14ac:dyDescent="0.25">
      <c r="A220" s="254" t="s">
        <v>318</v>
      </c>
      <c r="B220" s="229">
        <v>7050</v>
      </c>
      <c r="C220" s="205"/>
      <c r="D220" s="205"/>
      <c r="E220" s="205"/>
      <c r="F220" s="205"/>
      <c r="G220" s="205"/>
      <c r="H220" s="205"/>
      <c r="I220" s="205"/>
      <c r="J220" s="205"/>
    </row>
    <row r="221" spans="1:10" ht="24.75" x14ac:dyDescent="0.25">
      <c r="A221" s="252" t="s">
        <v>314</v>
      </c>
      <c r="B221" s="224">
        <v>7051</v>
      </c>
      <c r="C221" s="205"/>
      <c r="D221" s="205"/>
      <c r="E221" s="205"/>
      <c r="F221" s="205"/>
      <c r="G221" s="205"/>
      <c r="H221" s="205"/>
      <c r="I221" s="205"/>
      <c r="J221" s="205"/>
    </row>
    <row r="222" spans="1:10" x14ac:dyDescent="0.25">
      <c r="A222" s="252" t="s">
        <v>315</v>
      </c>
      <c r="B222" s="224">
        <v>7052</v>
      </c>
      <c r="C222" s="205"/>
      <c r="D222" s="205"/>
      <c r="E222" s="205"/>
      <c r="F222" s="205"/>
      <c r="G222" s="205"/>
      <c r="H222" s="205"/>
      <c r="I222" s="205"/>
      <c r="J222" s="205"/>
    </row>
    <row r="223" spans="1:10" x14ac:dyDescent="0.25">
      <c r="A223" s="252" t="s">
        <v>316</v>
      </c>
      <c r="B223" s="224">
        <v>7053</v>
      </c>
      <c r="C223" s="205"/>
      <c r="D223" s="205"/>
      <c r="E223" s="205"/>
      <c r="F223" s="205"/>
      <c r="G223" s="205"/>
      <c r="H223" s="205"/>
      <c r="I223" s="205"/>
      <c r="J223" s="205"/>
    </row>
    <row r="224" spans="1:10" x14ac:dyDescent="0.25">
      <c r="A224" s="252" t="s">
        <v>317</v>
      </c>
      <c r="B224" s="224">
        <v>7054</v>
      </c>
      <c r="C224" s="205"/>
      <c r="D224" s="205"/>
      <c r="E224" s="205"/>
      <c r="F224" s="205"/>
      <c r="G224" s="205"/>
      <c r="H224" s="205"/>
      <c r="I224" s="205"/>
      <c r="J224" s="205"/>
    </row>
    <row r="225" spans="1:11" x14ac:dyDescent="0.25">
      <c r="A225" s="254" t="s">
        <v>321</v>
      </c>
      <c r="B225" s="229">
        <v>7060</v>
      </c>
      <c r="C225" s="205"/>
      <c r="D225" s="205"/>
      <c r="E225" s="205"/>
      <c r="F225" s="205"/>
      <c r="G225" s="205"/>
      <c r="H225" s="205"/>
      <c r="I225" s="205"/>
      <c r="J225" s="205"/>
    </row>
    <row r="226" spans="1:11" x14ac:dyDescent="0.25">
      <c r="A226" s="252" t="s">
        <v>319</v>
      </c>
      <c r="B226" s="224">
        <v>7061</v>
      </c>
      <c r="C226" s="205"/>
      <c r="D226" s="205"/>
      <c r="E226" s="205"/>
      <c r="F226" s="205"/>
      <c r="G226" s="205"/>
      <c r="H226" s="205"/>
      <c r="I226" s="205"/>
      <c r="J226" s="205"/>
    </row>
    <row r="227" spans="1:11" x14ac:dyDescent="0.25">
      <c r="A227" s="247" t="s">
        <v>322</v>
      </c>
      <c r="B227" s="229">
        <v>7070</v>
      </c>
      <c r="C227" s="205"/>
      <c r="D227" s="205"/>
      <c r="E227" s="205"/>
      <c r="F227" s="205"/>
      <c r="G227" s="205"/>
      <c r="H227" s="205"/>
      <c r="I227" s="205"/>
      <c r="J227" s="205"/>
    </row>
    <row r="228" spans="1:11" x14ac:dyDescent="0.25">
      <c r="A228" s="252" t="s">
        <v>323</v>
      </c>
      <c r="B228" s="224">
        <v>7071</v>
      </c>
      <c r="C228" s="205"/>
      <c r="D228" s="205"/>
      <c r="E228" s="205"/>
      <c r="F228" s="205"/>
      <c r="G228" s="205"/>
      <c r="H228" s="205"/>
      <c r="I228" s="205"/>
      <c r="J228" s="205"/>
    </row>
    <row r="229" spans="1:11" x14ac:dyDescent="0.25">
      <c r="A229" s="255" t="s">
        <v>121</v>
      </c>
      <c r="B229" s="224" t="s">
        <v>324</v>
      </c>
      <c r="C229" s="205"/>
      <c r="D229" s="205"/>
      <c r="E229" s="205"/>
      <c r="F229" s="205"/>
      <c r="G229" s="205"/>
      <c r="H229" s="205"/>
      <c r="I229" s="205"/>
      <c r="J229" s="205"/>
    </row>
    <row r="230" spans="1:11" x14ac:dyDescent="0.25">
      <c r="A230" s="255" t="s">
        <v>122</v>
      </c>
      <c r="B230" s="224" t="s">
        <v>325</v>
      </c>
      <c r="C230" s="205"/>
      <c r="D230" s="205"/>
      <c r="E230" s="205"/>
      <c r="F230" s="205"/>
      <c r="G230" s="205"/>
      <c r="H230" s="205"/>
      <c r="I230" s="205"/>
      <c r="J230" s="205"/>
    </row>
    <row r="231" spans="1:11" x14ac:dyDescent="0.25">
      <c r="A231" s="255" t="s">
        <v>123</v>
      </c>
      <c r="B231" s="224" t="s">
        <v>326</v>
      </c>
      <c r="C231" s="205"/>
      <c r="D231" s="205"/>
      <c r="E231" s="205"/>
      <c r="F231" s="205"/>
      <c r="G231" s="205"/>
      <c r="H231" s="205"/>
      <c r="I231" s="205"/>
      <c r="J231" s="205"/>
    </row>
    <row r="232" spans="1:11" x14ac:dyDescent="0.25">
      <c r="A232" s="255" t="s">
        <v>124</v>
      </c>
      <c r="B232" s="224" t="s">
        <v>327</v>
      </c>
      <c r="C232" s="205"/>
      <c r="D232" s="205"/>
      <c r="E232" s="205"/>
      <c r="F232" s="205"/>
      <c r="G232" s="205"/>
      <c r="H232" s="205"/>
      <c r="I232" s="205"/>
      <c r="J232" s="205"/>
    </row>
    <row r="233" spans="1:11" x14ac:dyDescent="0.25">
      <c r="A233" s="256" t="s">
        <v>320</v>
      </c>
      <c r="B233" s="224">
        <v>7072</v>
      </c>
      <c r="C233" s="205"/>
      <c r="D233" s="205"/>
      <c r="E233" s="205"/>
      <c r="F233" s="205"/>
      <c r="G233" s="205"/>
      <c r="H233" s="205"/>
      <c r="I233" s="205"/>
      <c r="J233" s="205"/>
    </row>
    <row r="234" spans="1:11" x14ac:dyDescent="0.25">
      <c r="A234" s="203" t="s">
        <v>125</v>
      </c>
      <c r="B234" s="232"/>
      <c r="C234" s="205"/>
      <c r="D234" s="205"/>
      <c r="E234" s="205"/>
      <c r="F234" s="205"/>
      <c r="G234" s="205"/>
      <c r="H234" s="205"/>
      <c r="I234" s="205"/>
      <c r="J234" s="205"/>
    </row>
    <row r="235" spans="1:11" x14ac:dyDescent="0.25">
      <c r="A235" s="243" t="s">
        <v>126</v>
      </c>
      <c r="B235" s="232">
        <v>7070</v>
      </c>
      <c r="C235" s="205"/>
      <c r="D235" s="205"/>
      <c r="E235" s="205"/>
      <c r="F235" s="205"/>
      <c r="G235" s="205"/>
      <c r="H235" s="205"/>
      <c r="I235" s="205"/>
      <c r="J235" s="205"/>
    </row>
    <row r="236" spans="1:11" x14ac:dyDescent="0.25">
      <c r="A236" s="243" t="s">
        <v>127</v>
      </c>
      <c r="B236" s="232">
        <v>7080</v>
      </c>
      <c r="C236" s="205"/>
      <c r="D236" s="205"/>
      <c r="E236" s="205"/>
      <c r="F236" s="205"/>
      <c r="G236" s="205"/>
      <c r="H236" s="205"/>
      <c r="I236" s="205"/>
      <c r="J236" s="205"/>
    </row>
    <row r="237" spans="1:11" x14ac:dyDescent="0.25">
      <c r="A237" s="233" t="s">
        <v>128</v>
      </c>
      <c r="B237" s="232">
        <v>7090</v>
      </c>
      <c r="C237" s="205"/>
      <c r="D237" s="205"/>
      <c r="E237" s="205"/>
      <c r="F237" s="205"/>
      <c r="G237" s="205"/>
      <c r="H237" s="205"/>
      <c r="I237" s="205"/>
      <c r="J237" s="205"/>
    </row>
    <row r="238" spans="1:11" x14ac:dyDescent="0.25">
      <c r="A238" s="494" t="s">
        <v>442</v>
      </c>
      <c r="B238" s="494"/>
      <c r="C238" s="494"/>
      <c r="D238" s="494"/>
      <c r="E238" s="494"/>
      <c r="F238" s="494"/>
      <c r="G238" s="494"/>
      <c r="H238" s="494"/>
      <c r="I238" s="494"/>
      <c r="J238" s="494"/>
      <c r="K238" s="110"/>
    </row>
    <row r="239" spans="1:11" ht="36" x14ac:dyDescent="0.25">
      <c r="A239" s="257" t="s">
        <v>454</v>
      </c>
      <c r="B239" s="258">
        <v>7100</v>
      </c>
      <c r="C239" s="205"/>
      <c r="D239" s="205"/>
      <c r="E239" s="259" t="s">
        <v>348</v>
      </c>
      <c r="F239" s="259" t="s">
        <v>348</v>
      </c>
      <c r="G239" s="205"/>
      <c r="H239" s="205"/>
      <c r="I239" s="259" t="s">
        <v>348</v>
      </c>
      <c r="J239" s="259" t="s">
        <v>348</v>
      </c>
      <c r="K239" s="132"/>
    </row>
    <row r="240" spans="1:11" ht="36" x14ac:dyDescent="0.25">
      <c r="A240" s="243" t="s">
        <v>455</v>
      </c>
      <c r="B240" s="258">
        <v>7110</v>
      </c>
      <c r="C240" s="205"/>
      <c r="D240" s="205"/>
      <c r="E240" s="259" t="s">
        <v>348</v>
      </c>
      <c r="F240" s="259" t="s">
        <v>348</v>
      </c>
      <c r="G240" s="205"/>
      <c r="H240" s="205"/>
      <c r="I240" s="259" t="s">
        <v>348</v>
      </c>
      <c r="J240" s="259" t="s">
        <v>348</v>
      </c>
      <c r="K240" s="132"/>
    </row>
    <row r="241" spans="1:11" ht="36" x14ac:dyDescent="0.25">
      <c r="A241" s="243" t="s">
        <v>456</v>
      </c>
      <c r="B241" s="258">
        <v>7120</v>
      </c>
      <c r="C241" s="205"/>
      <c r="D241" s="205"/>
      <c r="E241" s="259" t="s">
        <v>348</v>
      </c>
      <c r="F241" s="259" t="s">
        <v>348</v>
      </c>
      <c r="G241" s="205"/>
      <c r="H241" s="205"/>
      <c r="I241" s="259" t="s">
        <v>348</v>
      </c>
      <c r="J241" s="259" t="s">
        <v>348</v>
      </c>
      <c r="K241" s="132"/>
    </row>
    <row r="242" spans="1:11" ht="36" x14ac:dyDescent="0.25">
      <c r="A242" s="243" t="s">
        <v>457</v>
      </c>
      <c r="B242" s="258">
        <v>7130</v>
      </c>
      <c r="C242" s="205"/>
      <c r="D242" s="205"/>
      <c r="E242" s="259" t="s">
        <v>348</v>
      </c>
      <c r="F242" s="259" t="s">
        <v>348</v>
      </c>
      <c r="G242" s="205"/>
      <c r="H242" s="205"/>
      <c r="I242" s="259" t="s">
        <v>348</v>
      </c>
      <c r="J242" s="259" t="s">
        <v>348</v>
      </c>
      <c r="K242" s="132"/>
    </row>
    <row r="245" spans="1:11" x14ac:dyDescent="0.25">
      <c r="A245" s="74"/>
      <c r="B245" s="156"/>
      <c r="C245" s="156"/>
      <c r="D245" s="74"/>
      <c r="E245" s="432"/>
      <c r="F245" s="432"/>
      <c r="G245" s="74"/>
      <c r="H245" s="462"/>
      <c r="I245" s="462"/>
      <c r="J245" s="462"/>
    </row>
    <row r="246" spans="1:11" x14ac:dyDescent="0.25">
      <c r="A246" s="165" t="s">
        <v>152</v>
      </c>
      <c r="B246" s="1"/>
      <c r="C246" s="1"/>
      <c r="D246" s="74"/>
      <c r="E246" s="139" t="s">
        <v>153</v>
      </c>
      <c r="F246" s="139"/>
      <c r="G246" s="74"/>
      <c r="H246" s="417" t="s">
        <v>130</v>
      </c>
      <c r="I246" s="417"/>
      <c r="J246" s="417"/>
    </row>
    <row r="247" spans="1:11" x14ac:dyDescent="0.25">
      <c r="A247" s="74"/>
      <c r="B247" s="74"/>
      <c r="C247" s="74"/>
      <c r="D247" s="74"/>
      <c r="E247" s="74"/>
      <c r="F247" s="74"/>
      <c r="G247" s="74"/>
      <c r="H247" s="74"/>
      <c r="I247" s="74"/>
    </row>
    <row r="248" spans="1:11" x14ac:dyDescent="0.25">
      <c r="A248" s="130" t="s">
        <v>131</v>
      </c>
      <c r="B248" s="74"/>
      <c r="C248" s="74"/>
      <c r="D248" s="74"/>
      <c r="E248" s="74"/>
      <c r="F248" s="74"/>
      <c r="G248" s="74"/>
      <c r="H248" s="74"/>
      <c r="I248" s="74"/>
    </row>
    <row r="252" spans="1:11" x14ac:dyDescent="0.25">
      <c r="A252" s="73" t="s">
        <v>469</v>
      </c>
      <c r="H252" s="396" t="s">
        <v>470</v>
      </c>
      <c r="I252" s="396"/>
      <c r="J252" s="396"/>
    </row>
  </sheetData>
  <mergeCells count="22">
    <mergeCell ref="H245:J245"/>
    <mergeCell ref="A157:J157"/>
    <mergeCell ref="A173:J173"/>
    <mergeCell ref="A182:J182"/>
    <mergeCell ref="A238:J238"/>
    <mergeCell ref="E245:F245"/>
    <mergeCell ref="H252:J252"/>
    <mergeCell ref="A146:J146"/>
    <mergeCell ref="A6:J6"/>
    <mergeCell ref="A7:J7"/>
    <mergeCell ref="A8:J8"/>
    <mergeCell ref="A9:J9"/>
    <mergeCell ref="A11:A12"/>
    <mergeCell ref="B11:B12"/>
    <mergeCell ref="C11:F11"/>
    <mergeCell ref="G11:J11"/>
    <mergeCell ref="A14:J14"/>
    <mergeCell ref="A15:J15"/>
    <mergeCell ref="A56:J56"/>
    <mergeCell ref="A116:J116"/>
    <mergeCell ref="A129:J129"/>
    <mergeCell ref="H246:J246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14"/>
  <sheetViews>
    <sheetView topLeftCell="A7" workbookViewId="0">
      <selection activeCell="D8" sqref="D8"/>
    </sheetView>
  </sheetViews>
  <sheetFormatPr defaultRowHeight="15" x14ac:dyDescent="0.25"/>
  <sheetData>
    <row r="2" spans="4:14" ht="92.25" x14ac:dyDescent="1.35"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</row>
    <row r="3" spans="4:14" ht="92.25" x14ac:dyDescent="1.35"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4:14" ht="92.25" x14ac:dyDescent="1.35"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4:14" ht="92.25" x14ac:dyDescent="1.35"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</row>
    <row r="6" spans="4:14" ht="92.25" x14ac:dyDescent="1.35"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</row>
    <row r="7" spans="4:14" ht="46.5" customHeight="1" x14ac:dyDescent="1.35"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4:14" ht="183.75" customHeight="1" x14ac:dyDescent="1.35">
      <c r="F8" s="345"/>
      <c r="G8" s="344"/>
      <c r="H8" s="344"/>
      <c r="I8" s="344"/>
      <c r="J8" s="344"/>
      <c r="K8" s="344"/>
      <c r="L8" s="344"/>
      <c r="M8" s="344"/>
      <c r="N8" s="344"/>
    </row>
    <row r="9" spans="4:14" ht="92.25" x14ac:dyDescent="1.35"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</row>
    <row r="10" spans="4:14" ht="92.25" x14ac:dyDescent="1.35"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4:14" ht="92.25" x14ac:dyDescent="1.35"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</row>
    <row r="12" spans="4:14" ht="92.25" x14ac:dyDescent="1.35"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</row>
    <row r="13" spans="4:14" ht="92.25" x14ac:dyDescent="1.35"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</row>
    <row r="14" spans="4:14" ht="92.25" x14ac:dyDescent="1.35"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topLeftCell="A2" workbookViewId="0">
      <selection sqref="A1:AB19"/>
    </sheetView>
  </sheetViews>
  <sheetFormatPr defaultRowHeight="15" x14ac:dyDescent="0.25"/>
  <cols>
    <col min="1" max="1" width="5.42578125" customWidth="1"/>
    <col min="2" max="2" width="13.42578125" customWidth="1"/>
    <col min="3" max="3" width="5.140625" customWidth="1"/>
    <col min="4" max="4" width="4.5703125" customWidth="1"/>
    <col min="5" max="5" width="4.140625" customWidth="1"/>
    <col min="6" max="6" width="4.28515625" customWidth="1"/>
    <col min="7" max="7" width="4.42578125" customWidth="1"/>
    <col min="8" max="8" width="4.140625" customWidth="1"/>
    <col min="9" max="9" width="4.7109375" customWidth="1"/>
    <col min="10" max="10" width="4" customWidth="1"/>
    <col min="11" max="11" width="4.140625" customWidth="1"/>
    <col min="12" max="12" width="4.28515625" customWidth="1"/>
    <col min="13" max="13" width="4.42578125" customWidth="1"/>
    <col min="14" max="14" width="4.5703125" customWidth="1"/>
    <col min="15" max="15" width="4.7109375" customWidth="1"/>
    <col min="16" max="16" width="5" customWidth="1"/>
    <col min="17" max="17" width="4.7109375" customWidth="1"/>
    <col min="18" max="18" width="4.28515625" customWidth="1"/>
    <col min="19" max="19" width="5.28515625" customWidth="1"/>
    <col min="20" max="20" width="4.5703125" customWidth="1"/>
    <col min="21" max="21" width="4.7109375" customWidth="1"/>
    <col min="22" max="22" width="4.85546875" customWidth="1"/>
    <col min="23" max="23" width="5" customWidth="1"/>
    <col min="24" max="24" width="4.7109375" customWidth="1"/>
    <col min="25" max="25" width="6.28515625" customWidth="1"/>
    <col min="26" max="26" width="5.7109375" customWidth="1"/>
    <col min="27" max="27" width="5.42578125" customWidth="1"/>
    <col min="28" max="28" width="6" customWidth="1"/>
  </cols>
  <sheetData>
    <row r="1" spans="1:29" x14ac:dyDescent="0.25">
      <c r="T1" s="86"/>
      <c r="U1" s="82" t="s">
        <v>555</v>
      </c>
      <c r="V1" s="82"/>
      <c r="W1" s="82"/>
      <c r="X1" s="82"/>
      <c r="Y1" s="82"/>
      <c r="Z1" s="82"/>
      <c r="AA1" s="82"/>
      <c r="AB1" s="82"/>
    </row>
    <row r="2" spans="1:29" x14ac:dyDescent="0.25">
      <c r="A2" s="420" t="s">
        <v>132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110"/>
    </row>
    <row r="3" spans="1:29" x14ac:dyDescent="0.25">
      <c r="A3" s="420" t="s">
        <v>546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110"/>
    </row>
    <row r="4" spans="1:29" x14ac:dyDescent="0.25">
      <c r="A4" s="426" t="s">
        <v>472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110"/>
    </row>
    <row r="5" spans="1:29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427" t="s">
        <v>133</v>
      </c>
      <c r="Z5" s="427"/>
      <c r="AA5" s="427"/>
      <c r="AB5" s="427"/>
      <c r="AC5" s="110"/>
    </row>
    <row r="6" spans="1:29" x14ac:dyDescent="0.25">
      <c r="A6" s="428" t="s">
        <v>134</v>
      </c>
      <c r="B6" s="425" t="s">
        <v>135</v>
      </c>
      <c r="C6" s="429" t="s">
        <v>453</v>
      </c>
      <c r="D6" s="425" t="s">
        <v>136</v>
      </c>
      <c r="E6" s="425"/>
      <c r="F6" s="425"/>
      <c r="G6" s="425"/>
      <c r="H6" s="425"/>
      <c r="I6" s="425" t="s">
        <v>137</v>
      </c>
      <c r="J6" s="425"/>
      <c r="K6" s="425"/>
      <c r="L6" s="425"/>
      <c r="M6" s="425"/>
      <c r="N6" s="425" t="s">
        <v>138</v>
      </c>
      <c r="O6" s="425"/>
      <c r="P6" s="425"/>
      <c r="Q6" s="425"/>
      <c r="R6" s="425"/>
      <c r="S6" s="425" t="s">
        <v>139</v>
      </c>
      <c r="T6" s="425"/>
      <c r="U6" s="425"/>
      <c r="V6" s="425"/>
      <c r="W6" s="425"/>
      <c r="X6" s="425" t="s">
        <v>140</v>
      </c>
      <c r="Y6" s="425"/>
      <c r="Z6" s="425"/>
      <c r="AA6" s="425"/>
      <c r="AB6" s="425"/>
      <c r="AC6" s="110"/>
    </row>
    <row r="7" spans="1:29" x14ac:dyDescent="0.25">
      <c r="A7" s="428"/>
      <c r="B7" s="425"/>
      <c r="C7" s="430"/>
      <c r="D7" s="425" t="s">
        <v>141</v>
      </c>
      <c r="E7" s="425" t="s">
        <v>142</v>
      </c>
      <c r="F7" s="425"/>
      <c r="G7" s="425"/>
      <c r="H7" s="425"/>
      <c r="I7" s="425" t="s">
        <v>141</v>
      </c>
      <c r="J7" s="425" t="s">
        <v>142</v>
      </c>
      <c r="K7" s="425"/>
      <c r="L7" s="425"/>
      <c r="M7" s="425"/>
      <c r="N7" s="425" t="s">
        <v>141</v>
      </c>
      <c r="O7" s="425" t="s">
        <v>142</v>
      </c>
      <c r="P7" s="425"/>
      <c r="Q7" s="425"/>
      <c r="R7" s="425"/>
      <c r="S7" s="425" t="s">
        <v>141</v>
      </c>
      <c r="T7" s="425" t="s">
        <v>142</v>
      </c>
      <c r="U7" s="425"/>
      <c r="V7" s="425"/>
      <c r="W7" s="425"/>
      <c r="X7" s="425" t="s">
        <v>141</v>
      </c>
      <c r="Y7" s="425" t="s">
        <v>142</v>
      </c>
      <c r="Z7" s="425"/>
      <c r="AA7" s="425"/>
      <c r="AB7" s="425"/>
      <c r="AC7" s="110"/>
    </row>
    <row r="8" spans="1:29" x14ac:dyDescent="0.25">
      <c r="A8" s="428"/>
      <c r="B8" s="425"/>
      <c r="C8" s="431"/>
      <c r="D8" s="425"/>
      <c r="E8" s="196" t="s">
        <v>143</v>
      </c>
      <c r="F8" s="196" t="s">
        <v>144</v>
      </c>
      <c r="G8" s="196" t="s">
        <v>145</v>
      </c>
      <c r="H8" s="196" t="s">
        <v>146</v>
      </c>
      <c r="I8" s="425"/>
      <c r="J8" s="196" t="s">
        <v>143</v>
      </c>
      <c r="K8" s="196" t="s">
        <v>144</v>
      </c>
      <c r="L8" s="196" t="s">
        <v>145</v>
      </c>
      <c r="M8" s="196" t="s">
        <v>146</v>
      </c>
      <c r="N8" s="425"/>
      <c r="O8" s="196" t="s">
        <v>143</v>
      </c>
      <c r="P8" s="196" t="s">
        <v>144</v>
      </c>
      <c r="Q8" s="196" t="s">
        <v>145</v>
      </c>
      <c r="R8" s="196" t="s">
        <v>146</v>
      </c>
      <c r="S8" s="425"/>
      <c r="T8" s="196" t="s">
        <v>143</v>
      </c>
      <c r="U8" s="196" t="s">
        <v>144</v>
      </c>
      <c r="V8" s="196" t="s">
        <v>145</v>
      </c>
      <c r="W8" s="196" t="s">
        <v>146</v>
      </c>
      <c r="X8" s="425"/>
      <c r="Y8" s="196" t="s">
        <v>143</v>
      </c>
      <c r="Z8" s="196" t="s">
        <v>144</v>
      </c>
      <c r="AA8" s="196" t="s">
        <v>145</v>
      </c>
      <c r="AB8" s="196" t="s">
        <v>146</v>
      </c>
      <c r="AC8" s="110"/>
    </row>
    <row r="9" spans="1:29" x14ac:dyDescent="0.25">
      <c r="A9" s="94">
        <v>1</v>
      </c>
      <c r="B9" s="196">
        <v>2</v>
      </c>
      <c r="C9" s="196">
        <v>3</v>
      </c>
      <c r="D9" s="196">
        <v>4</v>
      </c>
      <c r="E9" s="196">
        <v>5</v>
      </c>
      <c r="F9" s="196">
        <v>6</v>
      </c>
      <c r="G9" s="196">
        <v>7</v>
      </c>
      <c r="H9" s="196">
        <v>8</v>
      </c>
      <c r="I9" s="196">
        <v>9</v>
      </c>
      <c r="J9" s="196">
        <v>10</v>
      </c>
      <c r="K9" s="196">
        <v>11</v>
      </c>
      <c r="L9" s="196">
        <v>12</v>
      </c>
      <c r="M9" s="196">
        <v>13</v>
      </c>
      <c r="N9" s="196">
        <v>14</v>
      </c>
      <c r="O9" s="196">
        <v>15</v>
      </c>
      <c r="P9" s="196">
        <v>16</v>
      </c>
      <c r="Q9" s="196">
        <v>17</v>
      </c>
      <c r="R9" s="196">
        <v>18</v>
      </c>
      <c r="S9" s="196">
        <v>19</v>
      </c>
      <c r="T9" s="196">
        <v>20</v>
      </c>
      <c r="U9" s="196">
        <v>21</v>
      </c>
      <c r="V9" s="196">
        <v>22</v>
      </c>
      <c r="W9" s="196">
        <v>23</v>
      </c>
      <c r="X9" s="196">
        <v>24</v>
      </c>
      <c r="Y9" s="196">
        <v>25</v>
      </c>
      <c r="Z9" s="196">
        <v>26</v>
      </c>
      <c r="AA9" s="196">
        <v>27</v>
      </c>
      <c r="AB9" s="196">
        <v>28</v>
      </c>
      <c r="AC9" s="110"/>
    </row>
    <row r="10" spans="1:29" ht="26.25" customHeight="1" x14ac:dyDescent="0.25">
      <c r="A10" s="94">
        <v>1</v>
      </c>
      <c r="B10" s="197" t="s">
        <v>91</v>
      </c>
      <c r="C10" s="196">
        <v>3110</v>
      </c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10"/>
    </row>
    <row r="11" spans="1:29" ht="48.75" customHeight="1" x14ac:dyDescent="0.25">
      <c r="A11" s="94">
        <v>2</v>
      </c>
      <c r="B11" s="197" t="s">
        <v>147</v>
      </c>
      <c r="C11" s="196">
        <v>3120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10"/>
    </row>
    <row r="12" spans="1:29" ht="66" customHeight="1" x14ac:dyDescent="0.25">
      <c r="A12" s="94">
        <v>3</v>
      </c>
      <c r="B12" s="197" t="s">
        <v>93</v>
      </c>
      <c r="C12" s="196">
        <v>3130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10"/>
    </row>
    <row r="13" spans="1:29" ht="98.25" customHeight="1" x14ac:dyDescent="0.25">
      <c r="A13" s="94">
        <v>4</v>
      </c>
      <c r="B13" s="197" t="s">
        <v>148</v>
      </c>
      <c r="C13" s="196">
        <v>3140</v>
      </c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10"/>
    </row>
    <row r="14" spans="1:29" ht="71.25" customHeight="1" x14ac:dyDescent="0.25">
      <c r="A14" s="94">
        <v>5</v>
      </c>
      <c r="B14" s="197" t="s">
        <v>149</v>
      </c>
      <c r="C14" s="196">
        <v>3150</v>
      </c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10"/>
    </row>
    <row r="15" spans="1:29" ht="21" customHeight="1" x14ac:dyDescent="0.25">
      <c r="A15" s="94">
        <v>6</v>
      </c>
      <c r="B15" s="197" t="s">
        <v>96</v>
      </c>
      <c r="C15" s="196">
        <v>3160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10"/>
    </row>
    <row r="16" spans="1:29" x14ac:dyDescent="0.25">
      <c r="A16" s="94"/>
      <c r="B16" s="198" t="s">
        <v>140</v>
      </c>
      <c r="C16" s="198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10"/>
    </row>
    <row r="17" spans="1:29" x14ac:dyDescent="0.25">
      <c r="A17" s="94"/>
      <c r="B17" s="198" t="s">
        <v>150</v>
      </c>
      <c r="C17" s="198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10"/>
    </row>
    <row r="18" spans="1:29" ht="25.5" customHeight="1" x14ac:dyDescent="0.25">
      <c r="A18" s="112"/>
      <c r="B18" s="423" t="s">
        <v>489</v>
      </c>
      <c r="C18" s="423"/>
      <c r="D18" s="423"/>
      <c r="E18" s="423"/>
      <c r="F18" s="112"/>
      <c r="G18" s="112"/>
      <c r="H18" s="112"/>
      <c r="I18" s="112"/>
      <c r="J18" s="424" t="s">
        <v>151</v>
      </c>
      <c r="K18" s="424"/>
      <c r="L18" s="424"/>
      <c r="M18" s="424"/>
      <c r="N18" s="424"/>
      <c r="O18" s="424"/>
      <c r="P18" s="424"/>
      <c r="Q18" s="424"/>
      <c r="R18" s="424"/>
      <c r="S18" s="424"/>
      <c r="T18" s="112"/>
      <c r="U18" s="112"/>
      <c r="V18" s="399" t="s">
        <v>498</v>
      </c>
      <c r="W18" s="399"/>
      <c r="X18" s="399"/>
      <c r="Y18" s="112"/>
      <c r="Z18" s="112"/>
      <c r="AA18" s="112"/>
      <c r="AB18" s="112"/>
      <c r="AC18" s="110"/>
    </row>
    <row r="19" spans="1:29" x14ac:dyDescent="0.25">
      <c r="A19" s="112"/>
      <c r="B19" s="417" t="s">
        <v>152</v>
      </c>
      <c r="C19" s="417"/>
      <c r="D19" s="417"/>
      <c r="E19" s="417"/>
      <c r="F19" s="112"/>
      <c r="G19" s="112"/>
      <c r="H19" s="112"/>
      <c r="I19" s="112"/>
      <c r="J19" s="417" t="s">
        <v>153</v>
      </c>
      <c r="K19" s="417"/>
      <c r="L19" s="417"/>
      <c r="M19" s="417"/>
      <c r="N19" s="417"/>
      <c r="O19" s="417"/>
      <c r="P19" s="417"/>
      <c r="Q19" s="417"/>
      <c r="R19" s="417"/>
      <c r="S19" s="417"/>
      <c r="T19" s="417" t="s">
        <v>130</v>
      </c>
      <c r="U19" s="417"/>
      <c r="V19" s="417"/>
      <c r="W19" s="417"/>
      <c r="X19" s="417"/>
      <c r="Y19" s="417"/>
      <c r="Z19" s="417"/>
      <c r="AA19" s="417"/>
      <c r="AB19" s="112"/>
      <c r="AC19" s="110"/>
    </row>
    <row r="20" spans="1:29" x14ac:dyDescent="0.25">
      <c r="A20" s="113"/>
      <c r="B20" s="75" t="s">
        <v>131</v>
      </c>
      <c r="C20" s="7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0"/>
    </row>
    <row r="21" spans="1:29" ht="42" customHeight="1" x14ac:dyDescent="0.25">
      <c r="B21" s="421" t="s">
        <v>469</v>
      </c>
      <c r="C21" s="421"/>
      <c r="D21" s="421"/>
      <c r="V21" s="422" t="s">
        <v>470</v>
      </c>
      <c r="W21" s="422"/>
      <c r="X21" s="422"/>
      <c r="Y21" s="422"/>
    </row>
  </sheetData>
  <mergeCells count="30">
    <mergeCell ref="A2:AB2"/>
    <mergeCell ref="A4:AB4"/>
    <mergeCell ref="Y5:AB5"/>
    <mergeCell ref="A6:A8"/>
    <mergeCell ref="B6:B8"/>
    <mergeCell ref="D6:H6"/>
    <mergeCell ref="I6:M6"/>
    <mergeCell ref="N6:R6"/>
    <mergeCell ref="D7:D8"/>
    <mergeCell ref="E7:H7"/>
    <mergeCell ref="I7:I8"/>
    <mergeCell ref="J7:M7"/>
    <mergeCell ref="N7:N8"/>
    <mergeCell ref="C6:C8"/>
    <mergeCell ref="S6:W6"/>
    <mergeCell ref="X6:AB6"/>
    <mergeCell ref="A3:AB3"/>
    <mergeCell ref="B21:D21"/>
    <mergeCell ref="V21:Y21"/>
    <mergeCell ref="B18:E18"/>
    <mergeCell ref="B19:E19"/>
    <mergeCell ref="V18:X18"/>
    <mergeCell ref="T19:AA19"/>
    <mergeCell ref="J18:S18"/>
    <mergeCell ref="J19:S19"/>
    <mergeCell ref="O7:R7"/>
    <mergeCell ref="S7:S8"/>
    <mergeCell ref="T7:W7"/>
    <mergeCell ref="X7:X8"/>
    <mergeCell ref="Y7:AB7"/>
  </mergeCells>
  <pageMargins left="0" right="0" top="0" bottom="0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sqref="A1:M24"/>
    </sheetView>
  </sheetViews>
  <sheetFormatPr defaultRowHeight="15" x14ac:dyDescent="0.25"/>
  <cols>
    <col min="1" max="1" width="5.85546875" customWidth="1"/>
    <col min="2" max="2" width="14.28515625" customWidth="1"/>
    <col min="3" max="3" width="9.7109375" customWidth="1"/>
    <col min="4" max="4" width="8.7109375" customWidth="1"/>
    <col min="5" max="5" width="12.28515625" customWidth="1"/>
    <col min="6" max="6" width="11.7109375" customWidth="1"/>
    <col min="7" max="7" width="10.140625" customWidth="1"/>
    <col min="8" max="8" width="12" customWidth="1"/>
    <col min="9" max="9" width="8.28515625" customWidth="1"/>
    <col min="10" max="10" width="8.42578125" customWidth="1"/>
    <col min="11" max="11" width="9.85546875" customWidth="1"/>
    <col min="12" max="12" width="18.28515625" customWidth="1"/>
    <col min="13" max="13" width="13.140625" customWidth="1"/>
  </cols>
  <sheetData>
    <row r="1" spans="1:13" x14ac:dyDescent="0.25">
      <c r="J1" s="433" t="s">
        <v>554</v>
      </c>
      <c r="K1" s="433"/>
      <c r="L1" s="433"/>
      <c r="M1" s="433"/>
    </row>
    <row r="2" spans="1:13" x14ac:dyDescent="0.25">
      <c r="J2" s="433" t="s">
        <v>154</v>
      </c>
      <c r="K2" s="433"/>
      <c r="L2" s="433"/>
      <c r="M2" s="433"/>
    </row>
    <row r="3" spans="1:13" x14ac:dyDescent="0.25">
      <c r="A3" s="434" t="s">
        <v>155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</row>
    <row r="4" spans="1:13" x14ac:dyDescent="0.25">
      <c r="A4" s="434" t="s">
        <v>550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</row>
    <row r="5" spans="1:13" x14ac:dyDescent="0.25">
      <c r="A5" s="435" t="s">
        <v>156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</row>
    <row r="6" spans="1:13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436" t="s">
        <v>157</v>
      </c>
      <c r="M6" s="436"/>
    </row>
    <row r="7" spans="1:13" x14ac:dyDescent="0.25">
      <c r="A7" s="428" t="s">
        <v>134</v>
      </c>
      <c r="B7" s="428" t="s">
        <v>158</v>
      </c>
      <c r="C7" s="428" t="s">
        <v>159</v>
      </c>
      <c r="D7" s="428" t="s">
        <v>160</v>
      </c>
      <c r="E7" s="428" t="s">
        <v>161</v>
      </c>
      <c r="F7" s="428" t="s">
        <v>162</v>
      </c>
      <c r="G7" s="428" t="s">
        <v>163</v>
      </c>
      <c r="H7" s="428"/>
      <c r="I7" s="428"/>
      <c r="J7" s="428"/>
      <c r="K7" s="428"/>
      <c r="L7" s="428" t="s">
        <v>164</v>
      </c>
      <c r="M7" s="428" t="s">
        <v>165</v>
      </c>
    </row>
    <row r="8" spans="1:13" x14ac:dyDescent="0.25">
      <c r="A8" s="428"/>
      <c r="B8" s="428"/>
      <c r="C8" s="428"/>
      <c r="D8" s="428"/>
      <c r="E8" s="428"/>
      <c r="F8" s="428"/>
      <c r="G8" s="428" t="s">
        <v>166</v>
      </c>
      <c r="H8" s="428" t="s">
        <v>167</v>
      </c>
      <c r="I8" s="428" t="s">
        <v>168</v>
      </c>
      <c r="J8" s="428"/>
      <c r="K8" s="428"/>
      <c r="L8" s="428"/>
      <c r="M8" s="428"/>
    </row>
    <row r="9" spans="1:13" ht="125.25" customHeight="1" x14ac:dyDescent="0.25">
      <c r="A9" s="428"/>
      <c r="B9" s="428"/>
      <c r="C9" s="428"/>
      <c r="D9" s="428"/>
      <c r="E9" s="428"/>
      <c r="F9" s="428"/>
      <c r="G9" s="428"/>
      <c r="H9" s="428"/>
      <c r="I9" s="77" t="s">
        <v>169</v>
      </c>
      <c r="J9" s="77" t="s">
        <v>170</v>
      </c>
      <c r="K9" s="77" t="s">
        <v>171</v>
      </c>
      <c r="L9" s="428"/>
      <c r="M9" s="428"/>
    </row>
    <row r="10" spans="1:13" x14ac:dyDescent="0.25">
      <c r="A10" s="78">
        <v>1</v>
      </c>
      <c r="B10" s="78">
        <v>2</v>
      </c>
      <c r="C10" s="78">
        <v>3</v>
      </c>
      <c r="D10" s="78">
        <v>4</v>
      </c>
      <c r="E10" s="78">
        <v>5</v>
      </c>
      <c r="F10" s="78">
        <v>6</v>
      </c>
      <c r="G10" s="78">
        <v>7</v>
      </c>
      <c r="H10" s="78">
        <v>8</v>
      </c>
      <c r="I10" s="78">
        <v>9</v>
      </c>
      <c r="J10" s="78">
        <v>10</v>
      </c>
      <c r="K10" s="78">
        <v>11</v>
      </c>
      <c r="L10" s="78">
        <v>12</v>
      </c>
      <c r="M10" s="78">
        <v>13</v>
      </c>
    </row>
    <row r="11" spans="1:13" x14ac:dyDescent="0.2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2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1:13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1:13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1:13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ht="25.5" x14ac:dyDescent="0.25">
      <c r="A21" s="74"/>
      <c r="B21" s="115" t="s">
        <v>489</v>
      </c>
      <c r="C21" s="74"/>
      <c r="D21" s="74"/>
      <c r="E21" s="74"/>
      <c r="F21" s="432"/>
      <c r="G21" s="432"/>
      <c r="H21" s="114"/>
      <c r="I21" s="74"/>
      <c r="J21" s="399" t="s">
        <v>498</v>
      </c>
      <c r="K21" s="399"/>
      <c r="L21" s="399"/>
      <c r="M21" s="74"/>
    </row>
    <row r="22" spans="1:13" x14ac:dyDescent="0.25">
      <c r="A22" s="74"/>
      <c r="B22" s="68" t="s">
        <v>152</v>
      </c>
      <c r="C22" s="74"/>
      <c r="D22" s="74"/>
      <c r="E22" s="74"/>
      <c r="F22" s="400" t="s">
        <v>153</v>
      </c>
      <c r="G22" s="400"/>
      <c r="H22" s="400"/>
      <c r="I22" s="74"/>
      <c r="J22" s="401" t="s">
        <v>130</v>
      </c>
      <c r="K22" s="401"/>
      <c r="L22" s="401"/>
      <c r="M22" s="74"/>
    </row>
    <row r="23" spans="1:13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x14ac:dyDescent="0.25">
      <c r="A24" s="74"/>
      <c r="B24" s="75" t="s">
        <v>131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7" spans="1:13" x14ac:dyDescent="0.25">
      <c r="B27" s="262" t="s">
        <v>469</v>
      </c>
      <c r="C27" s="86"/>
      <c r="D27" s="86"/>
      <c r="J27" s="396" t="s">
        <v>470</v>
      </c>
      <c r="K27" s="396"/>
      <c r="L27" s="396"/>
    </row>
    <row r="28" spans="1:13" x14ac:dyDescent="0.25">
      <c r="B28" s="86"/>
      <c r="C28" s="86"/>
      <c r="D28" s="86"/>
    </row>
  </sheetData>
  <mergeCells count="23">
    <mergeCell ref="A7:A9"/>
    <mergeCell ref="B7:B9"/>
    <mergeCell ref="C7:C9"/>
    <mergeCell ref="D7:D9"/>
    <mergeCell ref="E7:E9"/>
    <mergeCell ref="J1:M1"/>
    <mergeCell ref="J2:M2"/>
    <mergeCell ref="A3:M3"/>
    <mergeCell ref="A5:M5"/>
    <mergeCell ref="L6:M6"/>
    <mergeCell ref="A4:M4"/>
    <mergeCell ref="J27:L27"/>
    <mergeCell ref="M7:M9"/>
    <mergeCell ref="G8:G9"/>
    <mergeCell ref="H8:H9"/>
    <mergeCell ref="I8:K8"/>
    <mergeCell ref="J21:L21"/>
    <mergeCell ref="F22:H22"/>
    <mergeCell ref="J22:L22"/>
    <mergeCell ref="F7:F9"/>
    <mergeCell ref="G7:K7"/>
    <mergeCell ref="L7:L9"/>
    <mergeCell ref="F21:G21"/>
  </mergeCells>
  <pageMargins left="0" right="0" top="0" bottom="0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sqref="A1:M24"/>
    </sheetView>
  </sheetViews>
  <sheetFormatPr defaultRowHeight="15" x14ac:dyDescent="0.25"/>
  <cols>
    <col min="1" max="1" width="25" customWidth="1"/>
    <col min="5" max="5" width="9.5703125" customWidth="1"/>
    <col min="6" max="6" width="10.7109375" customWidth="1"/>
    <col min="7" max="7" width="9.85546875" customWidth="1"/>
    <col min="9" max="9" width="10.42578125" customWidth="1"/>
    <col min="10" max="10" width="10.5703125" customWidth="1"/>
    <col min="11" max="11" width="8.42578125" customWidth="1"/>
    <col min="13" max="13" width="10.5703125" customWidth="1"/>
  </cols>
  <sheetData>
    <row r="1" spans="1:13" x14ac:dyDescent="0.25">
      <c r="A1" s="79"/>
      <c r="B1" s="79"/>
      <c r="C1" s="79"/>
      <c r="D1" s="79"/>
      <c r="E1" s="79"/>
      <c r="F1" s="79"/>
      <c r="G1" s="79"/>
      <c r="H1" s="79"/>
      <c r="I1" s="438" t="s">
        <v>553</v>
      </c>
      <c r="J1" s="438"/>
      <c r="K1" s="438"/>
      <c r="L1" s="438"/>
      <c r="M1" s="438"/>
    </row>
    <row r="2" spans="1:13" x14ac:dyDescent="0.25">
      <c r="A2" s="79"/>
      <c r="B2" s="79"/>
      <c r="C2" s="79"/>
      <c r="D2" s="79"/>
      <c r="E2" s="79"/>
      <c r="F2" s="79"/>
      <c r="G2" s="79"/>
      <c r="H2" s="79"/>
      <c r="I2" s="79"/>
      <c r="J2" s="439" t="s">
        <v>172</v>
      </c>
      <c r="K2" s="439"/>
      <c r="L2" s="439"/>
      <c r="M2" s="439"/>
    </row>
    <row r="3" spans="1:13" ht="15.75" x14ac:dyDescent="0.25">
      <c r="A3" s="437" t="s">
        <v>173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</row>
    <row r="4" spans="1:13" ht="15.75" x14ac:dyDescent="0.25">
      <c r="A4" s="437" t="s">
        <v>546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</row>
    <row r="5" spans="1:13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 t="s">
        <v>174</v>
      </c>
    </row>
    <row r="6" spans="1:13" ht="45" customHeight="1" x14ac:dyDescent="0.25">
      <c r="A6" s="428" t="s">
        <v>175</v>
      </c>
      <c r="B6" s="428" t="s">
        <v>176</v>
      </c>
      <c r="C6" s="428"/>
      <c r="D6" s="428"/>
      <c r="E6" s="428" t="s">
        <v>177</v>
      </c>
      <c r="F6" s="428" t="s">
        <v>178</v>
      </c>
      <c r="G6" s="428"/>
      <c r="H6" s="428"/>
      <c r="I6" s="428"/>
      <c r="J6" s="428"/>
      <c r="K6" s="428" t="s">
        <v>179</v>
      </c>
      <c r="L6" s="428"/>
      <c r="M6" s="428"/>
    </row>
    <row r="7" spans="1:13" x14ac:dyDescent="0.25">
      <c r="A7" s="428"/>
      <c r="B7" s="428" t="s">
        <v>140</v>
      </c>
      <c r="C7" s="428" t="s">
        <v>168</v>
      </c>
      <c r="D7" s="428"/>
      <c r="E7" s="428"/>
      <c r="F7" s="428" t="s">
        <v>180</v>
      </c>
      <c r="G7" s="428" t="s">
        <v>181</v>
      </c>
      <c r="H7" s="428" t="s">
        <v>182</v>
      </c>
      <c r="I7" s="428" t="s">
        <v>183</v>
      </c>
      <c r="J7" s="428" t="s">
        <v>184</v>
      </c>
      <c r="K7" s="428" t="s">
        <v>140</v>
      </c>
      <c r="L7" s="428" t="s">
        <v>168</v>
      </c>
      <c r="M7" s="428"/>
    </row>
    <row r="8" spans="1:13" ht="47.25" customHeight="1" x14ac:dyDescent="0.25">
      <c r="A8" s="428"/>
      <c r="B8" s="428"/>
      <c r="C8" s="94" t="s">
        <v>185</v>
      </c>
      <c r="D8" s="94" t="s">
        <v>186</v>
      </c>
      <c r="E8" s="428"/>
      <c r="F8" s="428"/>
      <c r="G8" s="428"/>
      <c r="H8" s="428"/>
      <c r="I8" s="428"/>
      <c r="J8" s="428"/>
      <c r="K8" s="428"/>
      <c r="L8" s="94" t="s">
        <v>185</v>
      </c>
      <c r="M8" s="94" t="s">
        <v>186</v>
      </c>
    </row>
    <row r="9" spans="1:13" x14ac:dyDescent="0.25">
      <c r="A9" s="94">
        <v>1</v>
      </c>
      <c r="B9" s="94">
        <v>2</v>
      </c>
      <c r="C9" s="94">
        <v>3</v>
      </c>
      <c r="D9" s="94">
        <v>4</v>
      </c>
      <c r="E9" s="94">
        <v>5</v>
      </c>
      <c r="F9" s="94">
        <v>6</v>
      </c>
      <c r="G9" s="94">
        <v>7</v>
      </c>
      <c r="H9" s="94">
        <v>8</v>
      </c>
      <c r="I9" s="94">
        <v>9</v>
      </c>
      <c r="J9" s="94">
        <v>10</v>
      </c>
      <c r="K9" s="94">
        <v>11</v>
      </c>
      <c r="L9" s="94">
        <v>12</v>
      </c>
      <c r="M9" s="94">
        <v>13</v>
      </c>
    </row>
    <row r="10" spans="1:13" ht="25.5" x14ac:dyDescent="0.25">
      <c r="A10" s="81" t="s">
        <v>187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</row>
    <row r="11" spans="1:13" x14ac:dyDescent="0.25">
      <c r="A11" s="81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3" x14ac:dyDescent="0.25">
      <c r="A12" s="81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1:13" ht="39.75" customHeight="1" x14ac:dyDescent="0.25">
      <c r="A13" s="81" t="s">
        <v>188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13" x14ac:dyDescent="0.25">
      <c r="A14" s="81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</row>
    <row r="15" spans="1:13" x14ac:dyDescent="0.25">
      <c r="A15" s="81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spans="1:13" ht="25.5" x14ac:dyDescent="0.25">
      <c r="A16" s="81" t="s">
        <v>189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</row>
    <row r="17" spans="1:13" x14ac:dyDescent="0.25">
      <c r="A17" s="81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spans="1:13" x14ac:dyDescent="0.25">
      <c r="A18" s="81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1:13" x14ac:dyDescent="0.25">
      <c r="A19" s="81" t="s">
        <v>140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1:13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x14ac:dyDescent="0.25">
      <c r="A21" s="64" t="s">
        <v>551</v>
      </c>
      <c r="B21" s="74"/>
      <c r="C21" s="74"/>
      <c r="D21" s="398" t="s">
        <v>151</v>
      </c>
      <c r="E21" s="398"/>
      <c r="F21" s="398"/>
      <c r="G21" s="74"/>
      <c r="H21" s="74"/>
      <c r="I21" s="399" t="s">
        <v>552</v>
      </c>
      <c r="J21" s="399"/>
      <c r="K21" s="399"/>
      <c r="L21" s="74"/>
      <c r="M21" s="74"/>
    </row>
    <row r="22" spans="1:13" x14ac:dyDescent="0.25">
      <c r="A22" s="68" t="s">
        <v>152</v>
      </c>
      <c r="B22" s="74"/>
      <c r="C22" s="74"/>
      <c r="D22" s="400" t="s">
        <v>153</v>
      </c>
      <c r="E22" s="400"/>
      <c r="F22" s="400"/>
      <c r="G22" s="74"/>
      <c r="H22" s="74"/>
      <c r="I22" s="401" t="s">
        <v>130</v>
      </c>
      <c r="J22" s="401"/>
      <c r="K22" s="401"/>
      <c r="L22" s="74"/>
      <c r="M22" s="74"/>
    </row>
    <row r="23" spans="1:13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x14ac:dyDescent="0.25">
      <c r="A24" s="75" t="s">
        <v>131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7" spans="1:13" ht="30" x14ac:dyDescent="0.25">
      <c r="A27" s="261" t="s">
        <v>469</v>
      </c>
      <c r="I27" s="396" t="s">
        <v>470</v>
      </c>
      <c r="J27" s="396"/>
      <c r="K27" s="396"/>
    </row>
  </sheetData>
  <mergeCells count="23">
    <mergeCell ref="I1:M1"/>
    <mergeCell ref="D21:F21"/>
    <mergeCell ref="I21:K21"/>
    <mergeCell ref="D22:F22"/>
    <mergeCell ref="I22:K22"/>
    <mergeCell ref="F7:F8"/>
    <mergeCell ref="G7:G8"/>
    <mergeCell ref="H7:H8"/>
    <mergeCell ref="I7:I8"/>
    <mergeCell ref="J7:J8"/>
    <mergeCell ref="K7:K8"/>
    <mergeCell ref="J2:M2"/>
    <mergeCell ref="A3:M3"/>
    <mergeCell ref="A6:A8"/>
    <mergeCell ref="B6:D6"/>
    <mergeCell ref="E6:E8"/>
    <mergeCell ref="A4:M4"/>
    <mergeCell ref="I27:K27"/>
    <mergeCell ref="F6:J6"/>
    <mergeCell ref="K6:M6"/>
    <mergeCell ref="B7:B8"/>
    <mergeCell ref="C7:D7"/>
    <mergeCell ref="L7:M7"/>
  </mergeCells>
  <pageMargins left="0" right="0" top="0" bottom="0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A15" workbookViewId="0">
      <selection sqref="A1:M28"/>
    </sheetView>
  </sheetViews>
  <sheetFormatPr defaultRowHeight="15" x14ac:dyDescent="0.25"/>
  <cols>
    <col min="1" max="1" width="5.42578125" customWidth="1"/>
    <col min="2" max="2" width="44.5703125" customWidth="1"/>
    <col min="3" max="3" width="9.85546875" customWidth="1"/>
    <col min="4" max="4" width="10.85546875" customWidth="1"/>
    <col min="5" max="5" width="9.42578125" customWidth="1"/>
    <col min="6" max="6" width="10.7109375" customWidth="1"/>
    <col min="7" max="7" width="10.28515625" customWidth="1"/>
    <col min="8" max="8" width="9.140625" customWidth="1"/>
    <col min="9" max="9" width="11.7109375" customWidth="1"/>
    <col min="10" max="10" width="10.42578125" customWidth="1"/>
    <col min="11" max="11" width="10" customWidth="1"/>
    <col min="12" max="12" width="10.140625" customWidth="1"/>
    <col min="14" max="14" width="12.7109375" customWidth="1"/>
  </cols>
  <sheetData>
    <row r="1" spans="1:15" x14ac:dyDescent="0.25">
      <c r="G1" s="438" t="s">
        <v>480</v>
      </c>
      <c r="H1" s="438"/>
      <c r="I1" s="438"/>
      <c r="J1" s="438"/>
      <c r="K1" s="438"/>
      <c r="L1" s="438"/>
      <c r="M1" s="82"/>
      <c r="N1" s="82"/>
      <c r="O1" s="82"/>
    </row>
    <row r="2" spans="1:15" x14ac:dyDescent="0.25">
      <c r="A2" s="434" t="s">
        <v>471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83"/>
      <c r="N2" s="83"/>
      <c r="O2" s="83"/>
    </row>
    <row r="3" spans="1:15" x14ac:dyDescent="0.25">
      <c r="A3" s="434" t="s">
        <v>550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83"/>
      <c r="N3" s="83"/>
      <c r="O3" s="83"/>
    </row>
    <row r="4" spans="1:15" x14ac:dyDescent="0.25">
      <c r="A4" s="443" t="s">
        <v>475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83"/>
      <c r="N4" s="83"/>
      <c r="O4" s="83"/>
    </row>
    <row r="5" spans="1:15" ht="40.5" customHeight="1" x14ac:dyDescent="0.25">
      <c r="A5" s="444" t="s">
        <v>134</v>
      </c>
      <c r="B5" s="444" t="s">
        <v>190</v>
      </c>
      <c r="C5" s="445" t="s">
        <v>476</v>
      </c>
      <c r="D5" s="445"/>
      <c r="E5" s="444" t="s">
        <v>477</v>
      </c>
      <c r="F5" s="444"/>
      <c r="G5" s="444" t="s">
        <v>191</v>
      </c>
      <c r="H5" s="444"/>
      <c r="I5" s="444" t="s">
        <v>192</v>
      </c>
      <c r="J5" s="444"/>
      <c r="K5" s="444"/>
      <c r="L5" s="444"/>
      <c r="M5" s="84"/>
      <c r="N5" s="84"/>
      <c r="O5" s="84"/>
    </row>
    <row r="6" spans="1:15" ht="38.25" x14ac:dyDescent="0.25">
      <c r="A6" s="444"/>
      <c r="B6" s="444"/>
      <c r="C6" s="116" t="s">
        <v>193</v>
      </c>
      <c r="D6" s="116" t="s">
        <v>194</v>
      </c>
      <c r="E6" s="116" t="s">
        <v>193</v>
      </c>
      <c r="F6" s="116" t="s">
        <v>194</v>
      </c>
      <c r="G6" s="116" t="s">
        <v>193</v>
      </c>
      <c r="H6" s="116" t="s">
        <v>194</v>
      </c>
      <c r="I6" s="94" t="s">
        <v>143</v>
      </c>
      <c r="J6" s="94" t="s">
        <v>144</v>
      </c>
      <c r="K6" s="94" t="s">
        <v>145</v>
      </c>
      <c r="L6" s="94" t="s">
        <v>146</v>
      </c>
      <c r="M6" s="84"/>
      <c r="N6" s="84"/>
      <c r="O6" s="84"/>
    </row>
    <row r="7" spans="1:15" x14ac:dyDescent="0.25">
      <c r="A7" s="117">
        <v>1</v>
      </c>
      <c r="B7" s="188" t="s">
        <v>195</v>
      </c>
      <c r="C7" s="269">
        <v>254</v>
      </c>
      <c r="D7" s="269">
        <v>27</v>
      </c>
      <c r="E7" s="269">
        <v>348</v>
      </c>
      <c r="F7" s="269">
        <v>37</v>
      </c>
      <c r="G7" s="269">
        <v>354</v>
      </c>
      <c r="H7" s="269">
        <v>37.5</v>
      </c>
      <c r="I7" s="270">
        <v>354</v>
      </c>
      <c r="J7" s="270">
        <v>325</v>
      </c>
      <c r="K7" s="270">
        <v>325</v>
      </c>
      <c r="L7" s="270">
        <f>I7</f>
        <v>354</v>
      </c>
      <c r="M7" s="84"/>
      <c r="N7" s="84"/>
      <c r="O7" s="84"/>
    </row>
    <row r="8" spans="1:15" ht="25.5" x14ac:dyDescent="0.25">
      <c r="A8" s="117">
        <v>2</v>
      </c>
      <c r="B8" s="188" t="s">
        <v>196</v>
      </c>
      <c r="C8" s="269">
        <v>251</v>
      </c>
      <c r="D8" s="269">
        <v>24</v>
      </c>
      <c r="E8" s="269">
        <v>348</v>
      </c>
      <c r="F8" s="269">
        <v>37</v>
      </c>
      <c r="G8" s="269">
        <v>351</v>
      </c>
      <c r="H8" s="269">
        <v>37.5</v>
      </c>
      <c r="I8" s="270">
        <v>351</v>
      </c>
      <c r="J8" s="271">
        <v>323</v>
      </c>
      <c r="K8" s="270">
        <v>323</v>
      </c>
      <c r="L8" s="270">
        <v>351</v>
      </c>
      <c r="M8" s="85"/>
      <c r="N8" s="85"/>
      <c r="O8" s="85"/>
    </row>
    <row r="9" spans="1:15" x14ac:dyDescent="0.25">
      <c r="A9" s="117">
        <v>3</v>
      </c>
      <c r="B9" s="188" t="s">
        <v>197</v>
      </c>
      <c r="C9" s="269">
        <v>20</v>
      </c>
      <c r="D9" s="269">
        <v>4</v>
      </c>
      <c r="E9" s="269">
        <v>23</v>
      </c>
      <c r="F9" s="269">
        <v>5</v>
      </c>
      <c r="G9" s="269">
        <v>21</v>
      </c>
      <c r="H9" s="269">
        <v>2</v>
      </c>
      <c r="I9" s="270">
        <v>1</v>
      </c>
      <c r="J9" s="270">
        <v>0</v>
      </c>
      <c r="K9" s="270">
        <v>1</v>
      </c>
      <c r="L9" s="270">
        <v>0</v>
      </c>
      <c r="M9" s="85"/>
      <c r="N9" s="85"/>
      <c r="O9" s="85"/>
    </row>
    <row r="10" spans="1:15" x14ac:dyDescent="0.25">
      <c r="A10" s="117">
        <v>4</v>
      </c>
      <c r="B10" s="188" t="s">
        <v>198</v>
      </c>
      <c r="C10" s="269">
        <v>67</v>
      </c>
      <c r="D10" s="269">
        <v>3</v>
      </c>
      <c r="E10" s="269">
        <v>78</v>
      </c>
      <c r="F10" s="269">
        <v>10</v>
      </c>
      <c r="G10" s="269">
        <v>63</v>
      </c>
      <c r="H10" s="269">
        <v>3</v>
      </c>
      <c r="I10" s="270">
        <v>16</v>
      </c>
      <c r="J10" s="270">
        <v>17</v>
      </c>
      <c r="K10" s="270">
        <v>15</v>
      </c>
      <c r="L10" s="270">
        <v>15</v>
      </c>
      <c r="M10" s="85"/>
      <c r="N10" s="85"/>
      <c r="O10" s="85"/>
    </row>
    <row r="11" spans="1:15" ht="25.5" x14ac:dyDescent="0.25">
      <c r="A11" s="120">
        <v>5</v>
      </c>
      <c r="B11" s="121" t="s">
        <v>199</v>
      </c>
      <c r="C11" s="122">
        <f t="shared" ref="C11:H11" si="0">C12+C13</f>
        <v>34867.105000000003</v>
      </c>
      <c r="D11" s="122">
        <f t="shared" si="0"/>
        <v>6621.9760000000006</v>
      </c>
      <c r="E11" s="122">
        <f t="shared" si="0"/>
        <v>63597.014378</v>
      </c>
      <c r="F11" s="122">
        <f t="shared" si="0"/>
        <v>12142.56883</v>
      </c>
      <c r="G11" s="122">
        <f t="shared" si="0"/>
        <v>68346.636133333333</v>
      </c>
      <c r="H11" s="122">
        <f t="shared" si="0"/>
        <v>13683.724533333334</v>
      </c>
      <c r="I11" s="123">
        <f>I12+I13</f>
        <v>17826.911700000001</v>
      </c>
      <c r="J11" s="123">
        <f>J12+J13</f>
        <v>16623.718144444443</v>
      </c>
      <c r="K11" s="123">
        <f>K12+K13</f>
        <v>16722.799777777778</v>
      </c>
      <c r="L11" s="123">
        <f>L12+L13</f>
        <v>17173.206511111115</v>
      </c>
      <c r="M11" s="84"/>
      <c r="N11" s="267">
        <f>I11+J11+K11+L11</f>
        <v>68346.636133333333</v>
      </c>
      <c r="O11" s="84"/>
    </row>
    <row r="12" spans="1:15" x14ac:dyDescent="0.25">
      <c r="A12" s="117" t="s">
        <v>200</v>
      </c>
      <c r="B12" s="124" t="s">
        <v>201</v>
      </c>
      <c r="C12" s="118">
        <f>22354536/1000</f>
        <v>22354.536</v>
      </c>
      <c r="D12" s="118">
        <v>4962.6090000000004</v>
      </c>
      <c r="E12" s="118">
        <v>41727.47</v>
      </c>
      <c r="F12" s="118">
        <f>5235.5+1384.58+1267.72</f>
        <v>7887.8</v>
      </c>
      <c r="G12" s="118">
        <f>(3782733*12)/1000</f>
        <v>45392.796000000002</v>
      </c>
      <c r="H12" s="118">
        <v>9472.2839999999997</v>
      </c>
      <c r="I12" s="119">
        <f>3782.733*3+592.5</f>
        <v>11940.699000000001</v>
      </c>
      <c r="J12" s="119">
        <f>(3782.733-225.943)*3+85.35</f>
        <v>10755.72</v>
      </c>
      <c r="K12" s="266">
        <f>J12</f>
        <v>10755.72</v>
      </c>
      <c r="L12" s="119">
        <f>I12-0.042</f>
        <v>11940.657000000001</v>
      </c>
      <c r="M12" s="84"/>
      <c r="N12" s="267">
        <f>I12+J12+K12+L12</f>
        <v>45392.796000000002</v>
      </c>
      <c r="O12" s="334">
        <f>N12-G12</f>
        <v>0</v>
      </c>
    </row>
    <row r="13" spans="1:15" x14ac:dyDescent="0.25">
      <c r="A13" s="117" t="s">
        <v>202</v>
      </c>
      <c r="B13" s="124" t="s">
        <v>203</v>
      </c>
      <c r="C13" s="118">
        <f>C14+C15+C16+C17+C18</f>
        <v>12512.569000000001</v>
      </c>
      <c r="D13" s="118">
        <v>1659.367</v>
      </c>
      <c r="E13" s="118">
        <f>E14+E15+E16+E17+E18</f>
        <v>21869.544377999999</v>
      </c>
      <c r="F13" s="118">
        <f>F14+F15+F16+F17+F18</f>
        <v>4254.7688300000009</v>
      </c>
      <c r="G13" s="118">
        <f>G14+G15+G16+G17+G18</f>
        <v>22953.840133333335</v>
      </c>
      <c r="H13" s="118">
        <f>H14+H15+H16+H17+H18+H19</f>
        <v>4211.4405333333334</v>
      </c>
      <c r="I13" s="119">
        <f>I14+I15+I16+I17+I18+I19</f>
        <v>5886.2127</v>
      </c>
      <c r="J13" s="119">
        <f>J14+J15+J16+J17+J18+J19</f>
        <v>5867.9981444444438</v>
      </c>
      <c r="K13" s="119">
        <f>K14+K15+K16+K17+K18+K19</f>
        <v>5967.0797777777771</v>
      </c>
      <c r="L13" s="119">
        <f>L14+L15+L16+L17+L18+L19</f>
        <v>5232.5495111111122</v>
      </c>
      <c r="M13" s="84"/>
      <c r="N13" s="267">
        <f>I13+J13+K13+L13</f>
        <v>22953.840133333335</v>
      </c>
      <c r="O13" s="84"/>
    </row>
    <row r="14" spans="1:15" x14ac:dyDescent="0.25">
      <c r="A14" s="117" t="s">
        <v>204</v>
      </c>
      <c r="B14" s="124" t="s">
        <v>205</v>
      </c>
      <c r="C14" s="118">
        <v>5307.9920000000002</v>
      </c>
      <c r="D14" s="118">
        <v>756.46299999999997</v>
      </c>
      <c r="E14" s="118">
        <f>E12*0.2374</f>
        <v>9906.1013779999994</v>
      </c>
      <c r="F14" s="118">
        <f>F12*0.1524</f>
        <v>1202.1007200000001</v>
      </c>
      <c r="G14" s="118">
        <f>((3901182/9)*12)/1000</f>
        <v>5201.576</v>
      </c>
      <c r="H14" s="118">
        <f>((451.776/9)*12)</f>
        <v>602.36799999999994</v>
      </c>
      <c r="I14" s="119">
        <f>(G14/12)*3</f>
        <v>1300.394</v>
      </c>
      <c r="J14" s="119">
        <f>I14</f>
        <v>1300.394</v>
      </c>
      <c r="K14" s="119">
        <f>J14</f>
        <v>1300.394</v>
      </c>
      <c r="L14" s="119">
        <f>K14</f>
        <v>1300.394</v>
      </c>
      <c r="M14" s="84"/>
      <c r="N14" s="267">
        <f>I14+J14+K14+L14</f>
        <v>5201.576</v>
      </c>
      <c r="O14" s="84"/>
    </row>
    <row r="15" spans="1:15" x14ac:dyDescent="0.25">
      <c r="A15" s="117" t="s">
        <v>206</v>
      </c>
      <c r="B15" s="124" t="s">
        <v>207</v>
      </c>
      <c r="C15" s="118">
        <v>4858.2650000000003</v>
      </c>
      <c r="D15" s="118">
        <v>412.81400000000002</v>
      </c>
      <c r="E15" s="118">
        <f>E12*0.2</f>
        <v>8345.4940000000006</v>
      </c>
      <c r="F15" s="118">
        <f>F12*0.3</f>
        <v>2366.34</v>
      </c>
      <c r="G15" s="118">
        <f>G12*0.3</f>
        <v>13617.8388</v>
      </c>
      <c r="H15" s="118">
        <f>H12*0.3</f>
        <v>2841.6851999999999</v>
      </c>
      <c r="I15" s="119">
        <f>I12*0.3</f>
        <v>3582.2096999999999</v>
      </c>
      <c r="J15" s="119">
        <f>J12*0.3</f>
        <v>3226.7159999999999</v>
      </c>
      <c r="K15" s="119">
        <f>K12*0.3-0.0126</f>
        <v>3226.7033999999999</v>
      </c>
      <c r="L15" s="119">
        <f>L12*0.3+0.0126</f>
        <v>3582.2097000000003</v>
      </c>
      <c r="M15" s="85"/>
      <c r="N15" s="332">
        <f>I15+J15+K15+L15</f>
        <v>13617.838800000001</v>
      </c>
      <c r="O15" s="333">
        <f>N15-G15</f>
        <v>0</v>
      </c>
    </row>
    <row r="16" spans="1:15" x14ac:dyDescent="0.25">
      <c r="A16" s="117" t="s">
        <v>208</v>
      </c>
      <c r="B16" s="124" t="s">
        <v>209</v>
      </c>
      <c r="C16" s="118">
        <v>0</v>
      </c>
      <c r="D16" s="118">
        <v>0</v>
      </c>
      <c r="E16" s="118">
        <v>89.99</v>
      </c>
      <c r="F16" s="118">
        <f>E16*0.189</f>
        <v>17.008109999999999</v>
      </c>
      <c r="G16" s="118">
        <f>((89992/9)*12)/1000</f>
        <v>119.98933333333335</v>
      </c>
      <c r="H16" s="118">
        <v>21.425999999999998</v>
      </c>
      <c r="I16" s="119">
        <v>0</v>
      </c>
      <c r="J16" s="119">
        <f>G16/3</f>
        <v>39.99644444444445</v>
      </c>
      <c r="K16" s="119">
        <f>J16</f>
        <v>39.99644444444445</v>
      </c>
      <c r="L16" s="119">
        <f>K16</f>
        <v>39.99644444444445</v>
      </c>
      <c r="M16" s="85"/>
      <c r="N16" s="332">
        <f>J16+K16+L16</f>
        <v>119.98933333333335</v>
      </c>
      <c r="O16" s="85" t="s">
        <v>632</v>
      </c>
    </row>
    <row r="17" spans="1:15" x14ac:dyDescent="0.25">
      <c r="A17" s="117" t="s">
        <v>210</v>
      </c>
      <c r="B17" s="124" t="s">
        <v>211</v>
      </c>
      <c r="C17" s="118">
        <v>180.827</v>
      </c>
      <c r="D17" s="118">
        <v>71.828000000000003</v>
      </c>
      <c r="E17" s="118">
        <v>50.67</v>
      </c>
      <c r="F17" s="118">
        <v>12</v>
      </c>
      <c r="G17" s="118">
        <f>((38000/9)*12)/1000</f>
        <v>50.666666666666671</v>
      </c>
      <c r="H17" s="118">
        <f>9</f>
        <v>9</v>
      </c>
      <c r="I17" s="119">
        <f>G17/4</f>
        <v>12.666666666666668</v>
      </c>
      <c r="J17" s="119">
        <f>I17</f>
        <v>12.666666666666668</v>
      </c>
      <c r="K17" s="119">
        <f>J17</f>
        <v>12.666666666666668</v>
      </c>
      <c r="L17" s="119">
        <f>K17</f>
        <v>12.666666666666668</v>
      </c>
      <c r="M17" s="85"/>
      <c r="N17" s="332">
        <f>I17+J17+K17+L17</f>
        <v>50.666666666666671</v>
      </c>
      <c r="O17" s="85"/>
    </row>
    <row r="18" spans="1:15" x14ac:dyDescent="0.25">
      <c r="A18" s="117" t="s">
        <v>212</v>
      </c>
      <c r="B18" s="124" t="s">
        <v>213</v>
      </c>
      <c r="C18" s="118">
        <f>1884.577+235.694+38.14+7.074</f>
        <v>2165.4850000000001</v>
      </c>
      <c r="D18" s="118">
        <v>490.089</v>
      </c>
      <c r="E18" s="118">
        <v>3477.2890000000002</v>
      </c>
      <c r="F18" s="118">
        <v>657.32</v>
      </c>
      <c r="G18" s="118">
        <f>((2972827/9)*12)/1000</f>
        <v>3963.7693333333336</v>
      </c>
      <c r="H18" s="118">
        <f>((552.721/9)*12)</f>
        <v>736.9613333333333</v>
      </c>
      <c r="I18" s="119">
        <f>G18/4</f>
        <v>990.94233333333341</v>
      </c>
      <c r="J18" s="119">
        <f>I18*1.3</f>
        <v>1288.2250333333334</v>
      </c>
      <c r="K18" s="119">
        <f>I18*1.4</f>
        <v>1387.3192666666666</v>
      </c>
      <c r="L18" s="119">
        <f>G18-I18-J18-K18</f>
        <v>297.2827000000002</v>
      </c>
      <c r="M18" s="84"/>
      <c r="N18" s="267">
        <f>I18+J18+K18+L18</f>
        <v>3963.7693333333332</v>
      </c>
      <c r="O18" s="84"/>
    </row>
    <row r="19" spans="1:15" ht="27.75" customHeight="1" x14ac:dyDescent="0.25">
      <c r="A19" s="117" t="s">
        <v>214</v>
      </c>
      <c r="B19" s="124" t="s">
        <v>215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9">
        <v>0</v>
      </c>
      <c r="J19" s="119">
        <v>0</v>
      </c>
      <c r="K19" s="119">
        <v>0</v>
      </c>
      <c r="L19" s="119">
        <v>0</v>
      </c>
      <c r="M19" s="84"/>
      <c r="N19" s="84"/>
      <c r="O19" s="84"/>
    </row>
    <row r="20" spans="1:15" ht="16.5" customHeight="1" x14ac:dyDescent="0.25">
      <c r="A20" s="117">
        <v>6</v>
      </c>
      <c r="B20" s="124" t="s">
        <v>216</v>
      </c>
      <c r="C20" s="118">
        <f t="shared" ref="C20:H20" si="1">C11/C7/12</f>
        <v>11.439338910761156</v>
      </c>
      <c r="D20" s="118">
        <f t="shared" si="1"/>
        <v>20.438197530864198</v>
      </c>
      <c r="E20" s="118">
        <f t="shared" si="1"/>
        <v>15.22917010967433</v>
      </c>
      <c r="F20" s="118">
        <f t="shared" si="1"/>
        <v>27.348127995495499</v>
      </c>
      <c r="G20" s="118">
        <f t="shared" si="1"/>
        <v>16.089132799748899</v>
      </c>
      <c r="H20" s="118">
        <f t="shared" si="1"/>
        <v>30.408276740740742</v>
      </c>
      <c r="I20" s="119">
        <f>I11/I7/3</f>
        <v>16.786169209039549</v>
      </c>
      <c r="J20" s="119">
        <f>J11/J7/3</f>
        <v>17.049967327635326</v>
      </c>
      <c r="K20" s="119">
        <f>K11/K7/3</f>
        <v>17.151589515669517</v>
      </c>
      <c r="L20" s="119">
        <f>L11/L7/3</f>
        <v>16.170627599916305</v>
      </c>
      <c r="M20" s="84"/>
      <c r="N20" s="84"/>
      <c r="O20" s="84"/>
    </row>
    <row r="21" spans="1:15" ht="40.5" customHeight="1" x14ac:dyDescent="0.25">
      <c r="A21" s="117">
        <v>7</v>
      </c>
      <c r="B21" s="188" t="s">
        <v>217</v>
      </c>
      <c r="C21" s="118">
        <v>1</v>
      </c>
      <c r="D21" s="118">
        <v>0</v>
      </c>
      <c r="E21" s="118">
        <v>3</v>
      </c>
      <c r="F21" s="118">
        <v>0</v>
      </c>
      <c r="G21" s="118">
        <v>3</v>
      </c>
      <c r="H21" s="118">
        <v>0</v>
      </c>
      <c r="I21" s="119">
        <v>3</v>
      </c>
      <c r="J21" s="119">
        <v>3</v>
      </c>
      <c r="K21" s="119">
        <v>3</v>
      </c>
      <c r="L21" s="119">
        <v>3</v>
      </c>
      <c r="M21" s="84"/>
      <c r="N21" s="84"/>
      <c r="O21" s="84"/>
    </row>
    <row r="22" spans="1:15" ht="25.5" x14ac:dyDescent="0.25">
      <c r="A22" s="117">
        <v>8</v>
      </c>
      <c r="B22" s="188" t="s">
        <v>218</v>
      </c>
      <c r="C22" s="118">
        <v>90.17</v>
      </c>
      <c r="D22" s="118">
        <v>0</v>
      </c>
      <c r="E22" s="125">
        <f>122.324/9*12</f>
        <v>163.09866666666665</v>
      </c>
      <c r="F22" s="118">
        <f>D22*1.2</f>
        <v>0</v>
      </c>
      <c r="G22" s="125">
        <f>122.3243/9*12</f>
        <v>163.09906666666666</v>
      </c>
      <c r="H22" s="118">
        <f>D22*1.05</f>
        <v>0</v>
      </c>
      <c r="I22" s="119">
        <f>G22/4</f>
        <v>40.774766666666665</v>
      </c>
      <c r="J22" s="119">
        <f>I22</f>
        <v>40.774766666666665</v>
      </c>
      <c r="K22" s="119">
        <f>J22</f>
        <v>40.774766666666665</v>
      </c>
      <c r="L22" s="119">
        <f>K22</f>
        <v>40.774766666666665</v>
      </c>
      <c r="M22" s="85"/>
      <c r="N22" s="85"/>
      <c r="O22" s="85"/>
    </row>
    <row r="23" spans="1:15" x14ac:dyDescent="0.25">
      <c r="A23" s="120">
        <v>9</v>
      </c>
      <c r="B23" s="121" t="s">
        <v>219</v>
      </c>
      <c r="C23" s="122">
        <f t="shared" ref="C23:H23" si="2">C11+C22</f>
        <v>34957.275000000001</v>
      </c>
      <c r="D23" s="122">
        <f t="shared" si="2"/>
        <v>6621.9760000000006</v>
      </c>
      <c r="E23" s="122">
        <f t="shared" si="2"/>
        <v>63760.113044666665</v>
      </c>
      <c r="F23" s="122">
        <f t="shared" si="2"/>
        <v>12142.56883</v>
      </c>
      <c r="G23" s="122">
        <f t="shared" si="2"/>
        <v>68509.735199999996</v>
      </c>
      <c r="H23" s="122">
        <f t="shared" si="2"/>
        <v>13683.724533333334</v>
      </c>
      <c r="I23" s="123">
        <f>I11+I22</f>
        <v>17867.686466666666</v>
      </c>
      <c r="J23" s="123">
        <f>J11+J22</f>
        <v>16664.492911111109</v>
      </c>
      <c r="K23" s="123">
        <f>K11+K22</f>
        <v>16763.574544444444</v>
      </c>
      <c r="L23" s="123">
        <f>L11+L22</f>
        <v>17213.981277777781</v>
      </c>
      <c r="M23" s="85"/>
      <c r="N23" s="85"/>
      <c r="O23" s="85"/>
    </row>
    <row r="24" spans="1:15" ht="27" customHeight="1" x14ac:dyDescent="0.25">
      <c r="A24" s="446" t="s">
        <v>220</v>
      </c>
      <c r="B24" s="446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M24" s="199"/>
      <c r="N24" s="199"/>
      <c r="O24" s="199"/>
    </row>
    <row r="25" spans="1:15" x14ac:dyDescent="0.25">
      <c r="A25" s="86"/>
      <c r="B25" s="126" t="s">
        <v>489</v>
      </c>
      <c r="C25" s="64"/>
      <c r="E25" s="432"/>
      <c r="F25" s="432"/>
      <c r="G25" s="114"/>
      <c r="H25" s="441" t="s">
        <v>486</v>
      </c>
      <c r="I25" s="441"/>
      <c r="J25" s="441"/>
      <c r="K25" s="417"/>
      <c r="L25" s="417"/>
      <c r="M25" s="417"/>
    </row>
    <row r="26" spans="1:15" x14ac:dyDescent="0.25">
      <c r="A26" s="86"/>
      <c r="B26" s="93" t="s">
        <v>152</v>
      </c>
      <c r="C26" s="68"/>
      <c r="E26" s="400" t="s">
        <v>153</v>
      </c>
      <c r="F26" s="400"/>
      <c r="G26" s="400"/>
      <c r="H26" s="401" t="s">
        <v>130</v>
      </c>
      <c r="I26" s="401"/>
      <c r="J26" s="401"/>
      <c r="K26" s="401"/>
      <c r="L26" s="401"/>
      <c r="M26" s="401"/>
    </row>
    <row r="27" spans="1:15" hidden="1" x14ac:dyDescent="0.25"/>
    <row r="28" spans="1:15" ht="14.25" customHeight="1" x14ac:dyDescent="0.25">
      <c r="A28" s="442" t="s">
        <v>491</v>
      </c>
      <c r="B28" s="442"/>
    </row>
    <row r="29" spans="1:15" hidden="1" x14ac:dyDescent="0.25"/>
    <row r="30" spans="1:15" x14ac:dyDescent="0.25">
      <c r="A30" s="440" t="s">
        <v>328</v>
      </c>
      <c r="B30" s="440"/>
      <c r="C30" s="440"/>
      <c r="D30" s="440"/>
      <c r="E30" s="440"/>
      <c r="F30" s="440"/>
      <c r="G30" s="440"/>
      <c r="H30" s="440"/>
      <c r="I30" s="440"/>
      <c r="J30" s="440"/>
    </row>
    <row r="32" spans="1:15" x14ac:dyDescent="0.25">
      <c r="A32" s="447" t="s">
        <v>469</v>
      </c>
      <c r="B32" s="447"/>
      <c r="I32" s="396" t="s">
        <v>470</v>
      </c>
      <c r="J32" s="396"/>
      <c r="K32" s="396"/>
      <c r="L32" s="396"/>
    </row>
  </sheetData>
  <mergeCells count="21">
    <mergeCell ref="G5:H5"/>
    <mergeCell ref="I5:L5"/>
    <mergeCell ref="A24:L24"/>
    <mergeCell ref="A32:B32"/>
    <mergeCell ref="I32:L32"/>
    <mergeCell ref="G1:L1"/>
    <mergeCell ref="A30:J30"/>
    <mergeCell ref="E25:F25"/>
    <mergeCell ref="H26:J26"/>
    <mergeCell ref="H25:J25"/>
    <mergeCell ref="A28:B28"/>
    <mergeCell ref="K25:M25"/>
    <mergeCell ref="E26:G26"/>
    <mergeCell ref="K26:M26"/>
    <mergeCell ref="A2:L2"/>
    <mergeCell ref="A4:L4"/>
    <mergeCell ref="A5:A6"/>
    <mergeCell ref="B5:B6"/>
    <mergeCell ref="C5:D5"/>
    <mergeCell ref="A3:L3"/>
    <mergeCell ref="E5:F5"/>
  </mergeCells>
  <pageMargins left="0.66" right="0" top="0.56999999999999995" bottom="0" header="0.31496062992125984" footer="0.31496062992125984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8" workbookViewId="0">
      <selection sqref="A1:F25"/>
    </sheetView>
  </sheetViews>
  <sheetFormatPr defaultRowHeight="15" x14ac:dyDescent="0.25"/>
  <cols>
    <col min="1" max="1" width="46" customWidth="1"/>
    <col min="2" max="2" width="14.5703125" customWidth="1"/>
    <col min="3" max="3" width="21" customWidth="1"/>
    <col min="4" max="4" width="16.85546875" customWidth="1"/>
    <col min="5" max="5" width="17.7109375" customWidth="1"/>
    <col min="6" max="6" width="27.140625" customWidth="1"/>
  </cols>
  <sheetData>
    <row r="1" spans="1:6" x14ac:dyDescent="0.25">
      <c r="A1" s="86"/>
      <c r="B1" s="86"/>
      <c r="C1" s="86"/>
      <c r="D1" s="439" t="s">
        <v>492</v>
      </c>
      <c r="E1" s="439"/>
      <c r="F1" s="439"/>
    </row>
    <row r="2" spans="1:6" x14ac:dyDescent="0.25">
      <c r="A2" s="86"/>
      <c r="B2" s="86"/>
      <c r="C2" s="86"/>
      <c r="D2" s="448" t="s">
        <v>221</v>
      </c>
      <c r="E2" s="448"/>
      <c r="F2" s="448"/>
    </row>
    <row r="3" spans="1:6" ht="15.75" x14ac:dyDescent="0.25">
      <c r="A3" s="87"/>
      <c r="B3" s="87"/>
      <c r="C3" s="87"/>
      <c r="D3" s="87"/>
      <c r="E3" s="87"/>
      <c r="F3" s="87"/>
    </row>
    <row r="4" spans="1:6" ht="15.75" x14ac:dyDescent="0.25">
      <c r="A4" s="437" t="s">
        <v>222</v>
      </c>
      <c r="B4" s="437"/>
      <c r="C4" s="437"/>
      <c r="D4" s="437"/>
      <c r="E4" s="437"/>
      <c r="F4" s="437"/>
    </row>
    <row r="5" spans="1:6" ht="15.75" x14ac:dyDescent="0.25">
      <c r="A5" s="437" t="s">
        <v>508</v>
      </c>
      <c r="B5" s="437"/>
      <c r="C5" s="437"/>
      <c r="D5" s="437"/>
      <c r="E5" s="437"/>
      <c r="F5" s="437"/>
    </row>
    <row r="6" spans="1:6" ht="15.75" x14ac:dyDescent="0.25">
      <c r="A6" s="143"/>
      <c r="B6" s="143"/>
      <c r="C6" s="143"/>
      <c r="D6" s="143"/>
      <c r="E6" s="143"/>
      <c r="F6" s="144"/>
    </row>
    <row r="7" spans="1:6" ht="38.25" x14ac:dyDescent="0.25">
      <c r="A7" s="116" t="s">
        <v>223</v>
      </c>
      <c r="B7" s="116" t="s">
        <v>224</v>
      </c>
      <c r="C7" s="116" t="s">
        <v>494</v>
      </c>
      <c r="D7" s="116" t="s">
        <v>225</v>
      </c>
      <c r="E7" s="116" t="s">
        <v>510</v>
      </c>
      <c r="F7" s="116" t="s">
        <v>226</v>
      </c>
    </row>
    <row r="8" spans="1:6" x14ac:dyDescent="0.25">
      <c r="A8" s="127" t="s">
        <v>227</v>
      </c>
      <c r="B8" s="127" t="s">
        <v>493</v>
      </c>
      <c r="C8" s="122">
        <v>0</v>
      </c>
      <c r="D8" s="122">
        <v>0</v>
      </c>
      <c r="E8" s="122">
        <v>0</v>
      </c>
      <c r="F8" s="127"/>
    </row>
    <row r="9" spans="1:6" x14ac:dyDescent="0.25">
      <c r="A9" s="116" t="s">
        <v>228</v>
      </c>
      <c r="B9" s="116"/>
      <c r="C9" s="118"/>
      <c r="D9" s="118"/>
      <c r="E9" s="118"/>
      <c r="F9" s="116"/>
    </row>
    <row r="10" spans="1:6" ht="38.25" x14ac:dyDescent="0.25">
      <c r="A10" s="127" t="s">
        <v>229</v>
      </c>
      <c r="B10" s="127" t="s">
        <v>509</v>
      </c>
      <c r="C10" s="122">
        <v>90995.7</v>
      </c>
      <c r="D10" s="122">
        <v>25339.1</v>
      </c>
      <c r="E10" s="122">
        <v>65656.600000000006</v>
      </c>
      <c r="F10" s="127" t="s">
        <v>495</v>
      </c>
    </row>
    <row r="11" spans="1:6" x14ac:dyDescent="0.25">
      <c r="A11" s="116" t="s">
        <v>228</v>
      </c>
      <c r="B11" s="116"/>
      <c r="C11" s="118">
        <v>0</v>
      </c>
      <c r="D11" s="118">
        <v>0</v>
      </c>
      <c r="E11" s="118">
        <v>0</v>
      </c>
      <c r="F11" s="116"/>
    </row>
    <row r="12" spans="1:6" x14ac:dyDescent="0.25">
      <c r="A12" s="127" t="s">
        <v>230</v>
      </c>
      <c r="B12" s="116" t="s">
        <v>509</v>
      </c>
      <c r="C12" s="122">
        <v>1690.5</v>
      </c>
      <c r="D12" s="122">
        <v>1144.4000000000001</v>
      </c>
      <c r="E12" s="122">
        <v>546.1</v>
      </c>
      <c r="F12" s="116" t="s">
        <v>496</v>
      </c>
    </row>
    <row r="13" spans="1:6" x14ac:dyDescent="0.25">
      <c r="A13" s="116" t="s">
        <v>228</v>
      </c>
      <c r="B13" s="116"/>
      <c r="C13" s="118">
        <v>0</v>
      </c>
      <c r="D13" s="118">
        <v>0</v>
      </c>
      <c r="E13" s="118">
        <v>0</v>
      </c>
      <c r="F13" s="116"/>
    </row>
    <row r="14" spans="1:6" x14ac:dyDescent="0.25">
      <c r="A14" s="127" t="s">
        <v>231</v>
      </c>
      <c r="B14" s="127" t="s">
        <v>509</v>
      </c>
      <c r="C14" s="122">
        <v>23555.5</v>
      </c>
      <c r="D14" s="122">
        <v>10211.799999999999</v>
      </c>
      <c r="E14" s="122">
        <v>13343.7</v>
      </c>
      <c r="F14" s="127" t="s">
        <v>496</v>
      </c>
    </row>
    <row r="15" spans="1:6" x14ac:dyDescent="0.25">
      <c r="A15" s="116" t="s">
        <v>228</v>
      </c>
      <c r="B15" s="116"/>
      <c r="C15" s="118">
        <v>0</v>
      </c>
      <c r="D15" s="118">
        <v>0</v>
      </c>
      <c r="E15" s="118">
        <v>0</v>
      </c>
      <c r="F15" s="116"/>
    </row>
    <row r="16" spans="1:6" x14ac:dyDescent="0.25">
      <c r="A16" s="127" t="s">
        <v>232</v>
      </c>
      <c r="B16" s="127" t="s">
        <v>509</v>
      </c>
      <c r="C16" s="122">
        <v>534.1</v>
      </c>
      <c r="D16" s="122">
        <v>406.5</v>
      </c>
      <c r="E16" s="122">
        <v>127.6</v>
      </c>
      <c r="F16" s="127" t="s">
        <v>496</v>
      </c>
    </row>
    <row r="17" spans="1:6" x14ac:dyDescent="0.25">
      <c r="A17" s="116" t="s">
        <v>228</v>
      </c>
      <c r="B17" s="116"/>
      <c r="C17" s="118">
        <v>0</v>
      </c>
      <c r="D17" s="118">
        <v>0</v>
      </c>
      <c r="E17" s="118">
        <v>0</v>
      </c>
      <c r="F17" s="116"/>
    </row>
    <row r="18" spans="1:6" x14ac:dyDescent="0.25">
      <c r="A18" s="127" t="s">
        <v>233</v>
      </c>
      <c r="B18" s="127" t="s">
        <v>509</v>
      </c>
      <c r="C18" s="122">
        <v>759.5</v>
      </c>
      <c r="D18" s="122">
        <v>639.6</v>
      </c>
      <c r="E18" s="122">
        <v>119.9</v>
      </c>
      <c r="F18" s="127" t="s">
        <v>496</v>
      </c>
    </row>
    <row r="19" spans="1:6" x14ac:dyDescent="0.25">
      <c r="A19" s="116" t="s">
        <v>228</v>
      </c>
      <c r="B19" s="116"/>
      <c r="C19" s="118">
        <v>0</v>
      </c>
      <c r="D19" s="118">
        <v>0</v>
      </c>
      <c r="E19" s="118">
        <v>0</v>
      </c>
      <c r="F19" s="116"/>
    </row>
    <row r="20" spans="1:6" x14ac:dyDescent="0.25">
      <c r="A20" s="127" t="s">
        <v>234</v>
      </c>
      <c r="B20" s="127"/>
      <c r="C20" s="122">
        <f>C8+C10+C12+C14+C16+C18</f>
        <v>117535.3</v>
      </c>
      <c r="D20" s="122">
        <f>D10+D12+D14+D16+D18</f>
        <v>37741.4</v>
      </c>
      <c r="E20" s="122">
        <f>E10+E12+E14+E16+E18</f>
        <v>79793.900000000009</v>
      </c>
      <c r="F20" s="127"/>
    </row>
    <row r="22" spans="1:6" x14ac:dyDescent="0.25">
      <c r="A22" s="115" t="s">
        <v>497</v>
      </c>
      <c r="B22" s="114"/>
      <c r="C22" s="128"/>
      <c r="D22" s="114"/>
      <c r="E22" s="399" t="s">
        <v>498</v>
      </c>
      <c r="F22" s="399"/>
    </row>
    <row r="23" spans="1:6" x14ac:dyDescent="0.25">
      <c r="A23" s="3" t="s">
        <v>152</v>
      </c>
      <c r="B23" s="1"/>
      <c r="C23" s="1" t="s">
        <v>153</v>
      </c>
      <c r="D23" s="1"/>
      <c r="E23" s="417" t="s">
        <v>130</v>
      </c>
      <c r="F23" s="417"/>
    </row>
    <row r="25" spans="1:6" x14ac:dyDescent="0.25">
      <c r="A25" s="79" t="s">
        <v>499</v>
      </c>
    </row>
    <row r="28" spans="1:6" x14ac:dyDescent="0.25">
      <c r="A28" s="73" t="s">
        <v>469</v>
      </c>
      <c r="F28" s="73" t="s">
        <v>470</v>
      </c>
    </row>
  </sheetData>
  <mergeCells count="6">
    <mergeCell ref="E23:F23"/>
    <mergeCell ref="D1:F1"/>
    <mergeCell ref="D2:F2"/>
    <mergeCell ref="A4:F4"/>
    <mergeCell ref="A5:F5"/>
    <mergeCell ref="E22:F22"/>
  </mergeCells>
  <pageMargins left="0" right="0" top="0" bottom="0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A7" sqref="A7"/>
    </sheetView>
  </sheetViews>
  <sheetFormatPr defaultRowHeight="15" x14ac:dyDescent="0.25"/>
  <cols>
    <col min="1" max="1" width="6.140625" customWidth="1"/>
    <col min="2" max="2" width="17.85546875" customWidth="1"/>
    <col min="3" max="3" width="12.85546875" customWidth="1"/>
    <col min="4" max="4" width="13.140625" customWidth="1"/>
    <col min="5" max="5" width="13.85546875" customWidth="1"/>
    <col min="6" max="6" width="13.5703125" customWidth="1"/>
    <col min="7" max="7" width="12.42578125" customWidth="1"/>
    <col min="8" max="8" width="13.85546875" customWidth="1"/>
    <col min="9" max="9" width="15" customWidth="1"/>
    <col min="10" max="10" width="13.85546875" customWidth="1"/>
  </cols>
  <sheetData>
    <row r="1" spans="1:10" x14ac:dyDescent="0.25">
      <c r="G1" s="439" t="s">
        <v>507</v>
      </c>
      <c r="H1" s="439"/>
      <c r="I1" s="439"/>
    </row>
    <row r="2" spans="1:10" x14ac:dyDescent="0.25">
      <c r="G2" s="448" t="s">
        <v>235</v>
      </c>
      <c r="H2" s="448"/>
      <c r="I2" s="448"/>
    </row>
    <row r="3" spans="1:10" ht="18.75" x14ac:dyDescent="0.3">
      <c r="A3" s="450" t="s">
        <v>236</v>
      </c>
      <c r="B3" s="450"/>
      <c r="C3" s="450"/>
      <c r="D3" s="450"/>
      <c r="E3" s="450"/>
      <c r="F3" s="450"/>
      <c r="G3" s="450"/>
      <c r="H3" s="450"/>
      <c r="I3" s="450"/>
      <c r="J3" s="450"/>
    </row>
    <row r="4" spans="1:10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</row>
    <row r="5" spans="1:10" ht="15.75" x14ac:dyDescent="0.25">
      <c r="A5" s="451" t="s">
        <v>545</v>
      </c>
      <c r="B5" s="451"/>
      <c r="C5" s="451"/>
      <c r="D5" s="451"/>
      <c r="E5" s="451"/>
      <c r="F5" s="451"/>
      <c r="G5" s="451"/>
      <c r="H5" s="451"/>
      <c r="I5" s="451"/>
      <c r="J5" s="79"/>
    </row>
    <row r="6" spans="1:10" x14ac:dyDescent="0.25">
      <c r="A6" s="193" t="s">
        <v>546</v>
      </c>
      <c r="B6" s="193"/>
      <c r="C6" s="193"/>
      <c r="D6" s="193"/>
      <c r="E6" s="193"/>
      <c r="F6" s="193"/>
      <c r="G6" s="193"/>
      <c r="H6" s="193"/>
      <c r="I6" s="190"/>
      <c r="J6" s="79"/>
    </row>
    <row r="7" spans="1:10" x14ac:dyDescent="0.25">
      <c r="A7" s="79"/>
      <c r="B7" s="79"/>
      <c r="C7" s="79"/>
      <c r="D7" s="79"/>
      <c r="E7" s="79"/>
      <c r="F7" s="79"/>
      <c r="G7" s="79"/>
      <c r="H7" s="79"/>
      <c r="I7" s="80" t="s">
        <v>174</v>
      </c>
      <c r="J7" s="79"/>
    </row>
    <row r="8" spans="1:10" x14ac:dyDescent="0.25">
      <c r="A8" s="428" t="s">
        <v>134</v>
      </c>
      <c r="B8" s="428" t="s">
        <v>237</v>
      </c>
      <c r="C8" s="428" t="s">
        <v>238</v>
      </c>
      <c r="D8" s="428" t="s">
        <v>239</v>
      </c>
      <c r="E8" s="428" t="s">
        <v>240</v>
      </c>
      <c r="F8" s="428"/>
      <c r="G8" s="428"/>
      <c r="H8" s="428" t="s">
        <v>241</v>
      </c>
      <c r="I8" s="452" t="s">
        <v>242</v>
      </c>
      <c r="J8" s="112"/>
    </row>
    <row r="9" spans="1:10" ht="62.25" customHeight="1" x14ac:dyDescent="0.25">
      <c r="A9" s="428"/>
      <c r="B9" s="428"/>
      <c r="C9" s="428"/>
      <c r="D9" s="428"/>
      <c r="E9" s="129" t="s">
        <v>505</v>
      </c>
      <c r="F9" s="100" t="s">
        <v>373</v>
      </c>
      <c r="G9" s="94" t="s">
        <v>506</v>
      </c>
      <c r="H9" s="428"/>
      <c r="I9" s="452"/>
      <c r="J9" s="112"/>
    </row>
    <row r="10" spans="1:10" x14ac:dyDescent="0.25">
      <c r="A10" s="94">
        <v>1</v>
      </c>
      <c r="B10" s="94">
        <v>2</v>
      </c>
      <c r="C10" s="94">
        <v>3</v>
      </c>
      <c r="D10" s="94">
        <v>4</v>
      </c>
      <c r="E10" s="94">
        <v>5</v>
      </c>
      <c r="F10" s="94">
        <v>6</v>
      </c>
      <c r="G10" s="94">
        <v>7</v>
      </c>
      <c r="H10" s="94">
        <v>8</v>
      </c>
      <c r="I10" s="94">
        <v>9</v>
      </c>
      <c r="J10" s="112"/>
    </row>
    <row r="11" spans="1:10" x14ac:dyDescent="0.25">
      <c r="A11" s="94">
        <v>1</v>
      </c>
      <c r="B11" s="94" t="s">
        <v>502</v>
      </c>
      <c r="C11" s="94">
        <v>2007</v>
      </c>
      <c r="D11" s="457" t="s">
        <v>504</v>
      </c>
      <c r="E11" s="94">
        <v>89722</v>
      </c>
      <c r="F11" s="94"/>
      <c r="G11" s="269">
        <f>48704/9*12</f>
        <v>64938.666666666672</v>
      </c>
      <c r="H11" s="94"/>
      <c r="I11" s="94">
        <f>F11</f>
        <v>0</v>
      </c>
      <c r="J11" s="112"/>
    </row>
    <row r="12" spans="1:10" x14ac:dyDescent="0.25">
      <c r="A12" s="94">
        <v>2</v>
      </c>
      <c r="B12" s="94" t="s">
        <v>503</v>
      </c>
      <c r="C12" s="94">
        <v>2016</v>
      </c>
      <c r="D12" s="458"/>
      <c r="E12" s="94">
        <v>88279</v>
      </c>
      <c r="F12" s="94"/>
      <c r="G12" s="269">
        <f>61708/9*12</f>
        <v>82277.333333333328</v>
      </c>
      <c r="H12" s="94"/>
      <c r="I12" s="94"/>
      <c r="J12" s="112"/>
    </row>
    <row r="13" spans="1:10" x14ac:dyDescent="0.25">
      <c r="A13" s="94">
        <v>3</v>
      </c>
      <c r="B13" s="94" t="s">
        <v>500</v>
      </c>
      <c r="C13" s="94">
        <v>2019</v>
      </c>
      <c r="D13" s="458"/>
      <c r="E13" s="94">
        <v>19908</v>
      </c>
      <c r="F13" s="94"/>
      <c r="G13" s="269">
        <f>36023/9*12</f>
        <v>48030.666666666672</v>
      </c>
      <c r="H13" s="94"/>
      <c r="I13" s="94"/>
      <c r="J13" s="112"/>
    </row>
    <row r="14" spans="1:10" x14ac:dyDescent="0.25">
      <c r="A14" s="94">
        <v>4</v>
      </c>
      <c r="B14" s="94" t="s">
        <v>501</v>
      </c>
      <c r="C14" s="94">
        <v>2007</v>
      </c>
      <c r="D14" s="459"/>
      <c r="E14" s="94">
        <v>24643</v>
      </c>
      <c r="F14" s="94"/>
      <c r="G14" s="269">
        <f>46894/9*12</f>
        <v>62525.333333333328</v>
      </c>
      <c r="H14" s="94"/>
      <c r="I14" s="94"/>
      <c r="J14" s="112"/>
    </row>
    <row r="15" spans="1:10" x14ac:dyDescent="0.25">
      <c r="A15" s="94"/>
      <c r="B15" s="94"/>
      <c r="C15" s="94"/>
      <c r="D15" s="94"/>
      <c r="E15" s="94"/>
      <c r="F15" s="94"/>
      <c r="G15" s="94"/>
      <c r="H15" s="94"/>
      <c r="I15" s="94"/>
      <c r="J15" s="112"/>
    </row>
    <row r="16" spans="1:10" x14ac:dyDescent="0.25">
      <c r="A16" s="94"/>
      <c r="B16" s="94"/>
      <c r="C16" s="94"/>
      <c r="D16" s="94"/>
      <c r="E16" s="94"/>
      <c r="F16" s="94"/>
      <c r="G16" s="94"/>
      <c r="H16" s="94"/>
      <c r="I16" s="94"/>
      <c r="J16" s="112"/>
    </row>
    <row r="17" spans="1:10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112"/>
    </row>
    <row r="18" spans="1:10" x14ac:dyDescent="0.25">
      <c r="A18" s="94"/>
      <c r="B18" s="94"/>
      <c r="C18" s="94"/>
      <c r="D18" s="94"/>
      <c r="E18" s="94"/>
      <c r="F18" s="94"/>
      <c r="G18" s="94"/>
      <c r="H18" s="94"/>
      <c r="I18" s="94"/>
      <c r="J18" s="112"/>
    </row>
    <row r="19" spans="1:10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112"/>
    </row>
    <row r="20" spans="1:10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112"/>
    </row>
    <row r="21" spans="1:10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112"/>
    </row>
    <row r="22" spans="1:10" x14ac:dyDescent="0.25">
      <c r="A22" s="94"/>
      <c r="B22" s="94"/>
      <c r="C22" s="94"/>
      <c r="D22" s="94"/>
      <c r="E22" s="94"/>
      <c r="F22" s="94"/>
      <c r="G22" s="94"/>
      <c r="H22" s="94"/>
      <c r="I22" s="94"/>
      <c r="J22" s="112"/>
    </row>
    <row r="23" spans="1:10" x14ac:dyDescent="0.25">
      <c r="A23" s="453" t="s">
        <v>140</v>
      </c>
      <c r="B23" s="454"/>
      <c r="C23" s="454"/>
      <c r="D23" s="455"/>
      <c r="E23" s="94"/>
      <c r="F23" s="94"/>
      <c r="G23" s="94"/>
      <c r="H23" s="94"/>
      <c r="I23" s="94"/>
      <c r="J23" s="112"/>
    </row>
    <row r="24" spans="1:10" x14ac:dyDescent="0.25">
      <c r="A24" s="112"/>
      <c r="B24" s="112"/>
      <c r="C24" s="112"/>
      <c r="D24" s="112"/>
      <c r="E24" s="112"/>
      <c r="F24" s="112"/>
      <c r="G24" s="112"/>
      <c r="H24" s="112"/>
      <c r="I24" s="112"/>
      <c r="J24" s="112"/>
    </row>
    <row r="25" spans="1:10" ht="15.75" x14ac:dyDescent="0.25">
      <c r="A25" s="456" t="s">
        <v>244</v>
      </c>
      <c r="B25" s="456"/>
      <c r="C25" s="456"/>
      <c r="D25" s="456"/>
      <c r="E25" s="456"/>
      <c r="F25" s="456"/>
      <c r="G25" s="456"/>
      <c r="H25" s="456"/>
      <c r="I25" s="456"/>
      <c r="J25" s="456"/>
    </row>
    <row r="26" spans="1:10" x14ac:dyDescent="0.25">
      <c r="A26" s="192"/>
      <c r="B26" s="192"/>
      <c r="C26" s="192"/>
      <c r="D26" s="192"/>
      <c r="E26" s="192"/>
      <c r="F26" s="192"/>
      <c r="G26" s="192"/>
      <c r="H26" s="192"/>
      <c r="I26" s="192"/>
      <c r="J26" s="194" t="s">
        <v>352</v>
      </c>
    </row>
    <row r="27" spans="1:10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42" t="s">
        <v>174</v>
      </c>
    </row>
    <row r="28" spans="1:10" x14ac:dyDescent="0.25">
      <c r="A28" s="428" t="s">
        <v>134</v>
      </c>
      <c r="B28" s="428" t="s">
        <v>245</v>
      </c>
      <c r="C28" s="428" t="s">
        <v>237</v>
      </c>
      <c r="D28" s="428" t="s">
        <v>239</v>
      </c>
      <c r="E28" s="428" t="s">
        <v>246</v>
      </c>
      <c r="F28" s="428" t="s">
        <v>240</v>
      </c>
      <c r="G28" s="428"/>
      <c r="H28" s="428"/>
      <c r="I28" s="428" t="s">
        <v>241</v>
      </c>
      <c r="J28" s="460" t="s">
        <v>242</v>
      </c>
    </row>
    <row r="29" spans="1:10" ht="63.75" x14ac:dyDescent="0.25">
      <c r="A29" s="428"/>
      <c r="B29" s="428"/>
      <c r="C29" s="428"/>
      <c r="D29" s="428"/>
      <c r="E29" s="428"/>
      <c r="F29" s="129" t="s">
        <v>372</v>
      </c>
      <c r="G29" s="100" t="s">
        <v>373</v>
      </c>
      <c r="H29" s="94" t="s">
        <v>243</v>
      </c>
      <c r="I29" s="428"/>
      <c r="J29" s="461"/>
    </row>
    <row r="30" spans="1:10" x14ac:dyDescent="0.25">
      <c r="A30" s="94">
        <v>1</v>
      </c>
      <c r="B30" s="94">
        <v>2</v>
      </c>
      <c r="C30" s="94">
        <v>3</v>
      </c>
      <c r="D30" s="94">
        <v>4</v>
      </c>
      <c r="E30" s="94">
        <v>5</v>
      </c>
      <c r="F30" s="94">
        <v>6</v>
      </c>
      <c r="G30" s="94">
        <v>7</v>
      </c>
      <c r="H30" s="94">
        <v>8</v>
      </c>
      <c r="I30" s="94">
        <v>9</v>
      </c>
      <c r="J30" s="94">
        <v>10</v>
      </c>
    </row>
    <row r="31" spans="1:10" x14ac:dyDescent="0.25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pans="1:10" x14ac:dyDescent="0.25">
      <c r="A32" s="94"/>
      <c r="B32" s="94"/>
      <c r="C32" s="94"/>
      <c r="D32" s="94"/>
      <c r="E32" s="94"/>
      <c r="F32" s="94"/>
      <c r="G32" s="94"/>
      <c r="H32" s="94"/>
      <c r="I32" s="94"/>
      <c r="J32" s="94"/>
    </row>
    <row r="33" spans="1:10" x14ac:dyDescent="0.25">
      <c r="A33" s="94"/>
      <c r="B33" s="94"/>
      <c r="C33" s="94"/>
      <c r="D33" s="94"/>
      <c r="E33" s="94"/>
      <c r="F33" s="94"/>
      <c r="G33" s="94"/>
      <c r="H33" s="94"/>
      <c r="I33" s="94"/>
      <c r="J33" s="94"/>
    </row>
    <row r="34" spans="1:10" x14ac:dyDescent="0.25">
      <c r="A34" s="94"/>
      <c r="B34" s="94"/>
      <c r="C34" s="94"/>
      <c r="D34" s="94"/>
      <c r="E34" s="94"/>
      <c r="F34" s="94"/>
      <c r="G34" s="94"/>
      <c r="H34" s="94"/>
      <c r="I34" s="94"/>
      <c r="J34" s="94"/>
    </row>
    <row r="35" spans="1:10" x14ac:dyDescent="0.25">
      <c r="A35" s="94"/>
      <c r="B35" s="94"/>
      <c r="C35" s="94"/>
      <c r="D35" s="94"/>
      <c r="E35" s="94"/>
      <c r="F35" s="94"/>
      <c r="G35" s="94"/>
      <c r="H35" s="94"/>
      <c r="I35" s="94"/>
      <c r="J35" s="94"/>
    </row>
    <row r="36" spans="1:10" x14ac:dyDescent="0.25">
      <c r="A36" s="94"/>
      <c r="B36" s="94"/>
      <c r="C36" s="94"/>
      <c r="D36" s="94"/>
      <c r="E36" s="94"/>
      <c r="F36" s="94"/>
      <c r="G36" s="94"/>
      <c r="H36" s="94"/>
      <c r="I36" s="94"/>
      <c r="J36" s="94"/>
    </row>
    <row r="37" spans="1:10" x14ac:dyDescent="0.25">
      <c r="A37" s="94"/>
      <c r="B37" s="94"/>
      <c r="C37" s="94"/>
      <c r="D37" s="94"/>
      <c r="E37" s="94"/>
      <c r="F37" s="94"/>
      <c r="G37" s="94"/>
      <c r="H37" s="94"/>
      <c r="I37" s="94"/>
      <c r="J37" s="94"/>
    </row>
    <row r="38" spans="1:10" x14ac:dyDescent="0.25">
      <c r="A38" s="94"/>
      <c r="B38" s="94"/>
      <c r="C38" s="94"/>
      <c r="D38" s="94"/>
      <c r="E38" s="94"/>
      <c r="F38" s="94"/>
      <c r="G38" s="94"/>
      <c r="H38" s="94"/>
      <c r="I38" s="94"/>
      <c r="J38" s="94"/>
    </row>
    <row r="39" spans="1:10" x14ac:dyDescent="0.25">
      <c r="A39" s="94"/>
      <c r="B39" s="94"/>
      <c r="C39" s="94"/>
      <c r="D39" s="94"/>
      <c r="E39" s="94"/>
      <c r="F39" s="94"/>
      <c r="G39" s="94"/>
      <c r="H39" s="94"/>
      <c r="I39" s="94"/>
      <c r="J39" s="94"/>
    </row>
    <row r="40" spans="1:10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94"/>
    </row>
    <row r="41" spans="1:10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</row>
    <row r="42" spans="1:10" x14ac:dyDescent="0.25">
      <c r="A42" s="94"/>
      <c r="B42" s="94"/>
      <c r="C42" s="94"/>
      <c r="D42" s="94"/>
      <c r="E42" s="94"/>
      <c r="F42" s="94"/>
      <c r="G42" s="94"/>
      <c r="H42" s="94"/>
      <c r="I42" s="94"/>
      <c r="J42" s="94"/>
    </row>
    <row r="43" spans="1:10" x14ac:dyDescent="0.25">
      <c r="A43" s="453" t="s">
        <v>140</v>
      </c>
      <c r="B43" s="454"/>
      <c r="C43" s="454"/>
      <c r="D43" s="455"/>
      <c r="E43" s="94"/>
      <c r="F43" s="94"/>
      <c r="G43" s="94"/>
      <c r="H43" s="94"/>
      <c r="I43" s="94"/>
      <c r="J43" s="94"/>
    </row>
    <row r="44" spans="1:10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</row>
    <row r="45" spans="1:10" ht="15" customHeight="1" x14ac:dyDescent="0.25">
      <c r="A45" s="74"/>
      <c r="B45" s="115"/>
      <c r="C45" s="114"/>
      <c r="D45" s="432"/>
      <c r="E45" s="432"/>
      <c r="F45" s="417"/>
      <c r="G45" s="417"/>
      <c r="H45" s="462"/>
      <c r="I45" s="462"/>
      <c r="J45" s="74"/>
    </row>
    <row r="46" spans="1:10" x14ac:dyDescent="0.25">
      <c r="A46" s="74"/>
      <c r="B46" s="68" t="s">
        <v>152</v>
      </c>
      <c r="C46" s="1"/>
      <c r="D46" s="1" t="s">
        <v>153</v>
      </c>
      <c r="E46" s="1"/>
      <c r="F46" s="417"/>
      <c r="G46" s="417"/>
      <c r="H46" s="417" t="s">
        <v>130</v>
      </c>
      <c r="I46" s="417"/>
      <c r="J46" s="74"/>
    </row>
    <row r="47" spans="1:10" x14ac:dyDescent="0.25">
      <c r="A47" s="74"/>
      <c r="B47" s="74"/>
      <c r="C47" s="74"/>
      <c r="D47" s="74"/>
      <c r="E47" s="74"/>
      <c r="F47" s="74"/>
      <c r="G47" s="74"/>
      <c r="H47" s="74"/>
      <c r="I47" s="74"/>
      <c r="J47" s="74"/>
    </row>
    <row r="48" spans="1:10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</row>
    <row r="49" spans="1:10" ht="20.25" customHeight="1" x14ac:dyDescent="0.25">
      <c r="A49" s="74"/>
      <c r="B49" s="130" t="s">
        <v>131</v>
      </c>
      <c r="C49" s="74"/>
      <c r="D49" s="74"/>
      <c r="E49" s="74"/>
      <c r="F49" s="74"/>
      <c r="G49" s="74"/>
      <c r="H49" s="74"/>
      <c r="I49" s="74"/>
      <c r="J49" s="74"/>
    </row>
    <row r="54" spans="1:10" ht="60" customHeight="1" x14ac:dyDescent="0.25">
      <c r="B54" s="421" t="s">
        <v>469</v>
      </c>
      <c r="C54" s="421"/>
      <c r="H54" s="449" t="s">
        <v>470</v>
      </c>
      <c r="I54" s="449"/>
    </row>
  </sheetData>
  <mergeCells count="30">
    <mergeCell ref="D11:D14"/>
    <mergeCell ref="I28:I29"/>
    <mergeCell ref="J28:J29"/>
    <mergeCell ref="H46:I46"/>
    <mergeCell ref="H45:I45"/>
    <mergeCell ref="A43:D43"/>
    <mergeCell ref="F45:G45"/>
    <mergeCell ref="F46:G46"/>
    <mergeCell ref="D45:E45"/>
    <mergeCell ref="B28:B29"/>
    <mergeCell ref="C28:C29"/>
    <mergeCell ref="D28:D29"/>
    <mergeCell ref="E28:E29"/>
    <mergeCell ref="F28:H28"/>
    <mergeCell ref="B54:C54"/>
    <mergeCell ref="H54:I54"/>
    <mergeCell ref="G1:I1"/>
    <mergeCell ref="G2:I2"/>
    <mergeCell ref="A3:J3"/>
    <mergeCell ref="A5:I5"/>
    <mergeCell ref="A8:A9"/>
    <mergeCell ref="B8:B9"/>
    <mergeCell ref="C8:C9"/>
    <mergeCell ref="D8:D9"/>
    <mergeCell ref="E8:G8"/>
    <mergeCell ref="H8:H9"/>
    <mergeCell ref="I8:I9"/>
    <mergeCell ref="A23:D23"/>
    <mergeCell ref="A25:J25"/>
    <mergeCell ref="A28:A29"/>
  </mergeCells>
  <pageMargins left="0" right="0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opLeftCell="A8" workbookViewId="0">
      <selection sqref="A1:F19"/>
    </sheetView>
  </sheetViews>
  <sheetFormatPr defaultRowHeight="15" x14ac:dyDescent="0.25"/>
  <cols>
    <col min="1" max="1" width="6.85546875" customWidth="1"/>
    <col min="2" max="2" width="24.42578125" customWidth="1"/>
    <col min="3" max="3" width="15.7109375" customWidth="1"/>
    <col min="4" max="4" width="18.140625" customWidth="1"/>
    <col min="5" max="5" width="20.85546875" customWidth="1"/>
    <col min="6" max="6" width="21.140625" customWidth="1"/>
  </cols>
  <sheetData>
    <row r="1" spans="1:14" x14ac:dyDescent="0.25">
      <c r="E1" s="439" t="s">
        <v>490</v>
      </c>
      <c r="F1" s="439"/>
      <c r="G1" s="82"/>
    </row>
    <row r="2" spans="1:14" x14ac:dyDescent="0.25">
      <c r="E2" s="137"/>
      <c r="F2" s="180"/>
      <c r="G2" s="137"/>
    </row>
    <row r="3" spans="1:14" x14ac:dyDescent="0.25">
      <c r="E3" s="160"/>
      <c r="F3" s="160"/>
    </row>
    <row r="4" spans="1:14" ht="15.75" x14ac:dyDescent="0.25">
      <c r="A4" s="468" t="s">
        <v>351</v>
      </c>
      <c r="B4" s="468"/>
      <c r="C4" s="468"/>
      <c r="D4" s="468"/>
      <c r="E4" s="468"/>
    </row>
    <row r="5" spans="1:14" x14ac:dyDescent="0.25">
      <c r="A5" s="268" t="s">
        <v>547</v>
      </c>
      <c r="B5" s="268"/>
      <c r="C5" s="268"/>
      <c r="D5" s="268"/>
      <c r="E5" s="268"/>
      <c r="F5" s="268"/>
    </row>
    <row r="6" spans="1:14" x14ac:dyDescent="0.25">
      <c r="F6" s="191" t="s">
        <v>360</v>
      </c>
    </row>
    <row r="7" spans="1:14" ht="21.75" customHeight="1" x14ac:dyDescent="0.25">
      <c r="A7" s="457" t="s">
        <v>134</v>
      </c>
      <c r="B7" s="457" t="s">
        <v>329</v>
      </c>
      <c r="C7" s="428" t="s">
        <v>330</v>
      </c>
      <c r="D7" s="428"/>
      <c r="E7" s="428"/>
      <c r="F7" s="428"/>
      <c r="G7" s="74"/>
      <c r="H7" s="74"/>
      <c r="I7" s="74"/>
      <c r="J7" s="74"/>
      <c r="K7" s="74"/>
      <c r="L7" s="74"/>
      <c r="M7" s="74"/>
      <c r="N7" s="74"/>
    </row>
    <row r="8" spans="1:14" ht="24" customHeight="1" x14ac:dyDescent="0.25">
      <c r="A8" s="458"/>
      <c r="B8" s="458"/>
      <c r="C8" s="428" t="s">
        <v>548</v>
      </c>
      <c r="D8" s="428"/>
      <c r="E8" s="428" t="s">
        <v>549</v>
      </c>
      <c r="F8" s="428"/>
      <c r="G8" s="74"/>
      <c r="H8" s="74"/>
      <c r="I8" s="74"/>
      <c r="J8" s="74"/>
      <c r="K8" s="74"/>
      <c r="L8" s="74"/>
      <c r="M8" s="74"/>
      <c r="N8" s="74"/>
    </row>
    <row r="9" spans="1:14" ht="36" customHeight="1" x14ac:dyDescent="0.25">
      <c r="A9" s="459"/>
      <c r="B9" s="459"/>
      <c r="C9" s="94" t="s">
        <v>349</v>
      </c>
      <c r="D9" s="94" t="s">
        <v>350</v>
      </c>
      <c r="E9" s="94" t="s">
        <v>349</v>
      </c>
      <c r="F9" s="94" t="s">
        <v>350</v>
      </c>
      <c r="G9" s="74"/>
      <c r="H9" s="74"/>
      <c r="I9" s="74"/>
      <c r="J9" s="74"/>
      <c r="K9" s="74"/>
      <c r="L9" s="74"/>
      <c r="M9" s="74"/>
      <c r="N9" s="74"/>
    </row>
    <row r="10" spans="1:14" x14ac:dyDescent="0.25">
      <c r="A10" s="94">
        <v>1</v>
      </c>
      <c r="B10" s="94">
        <v>2</v>
      </c>
      <c r="C10" s="94"/>
      <c r="D10" s="94"/>
      <c r="E10" s="94"/>
      <c r="F10" s="9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94">
        <v>1</v>
      </c>
      <c r="B11" s="94" t="s">
        <v>488</v>
      </c>
      <c r="C11" s="94">
        <v>56.65</v>
      </c>
      <c r="D11" s="94">
        <v>64</v>
      </c>
      <c r="E11" s="94">
        <v>69.44</v>
      </c>
      <c r="F11" s="94">
        <v>68.569999999999993</v>
      </c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94">
        <v>2</v>
      </c>
      <c r="B12" s="94" t="s">
        <v>482</v>
      </c>
      <c r="C12" s="94">
        <v>43.35</v>
      </c>
      <c r="D12" s="94">
        <v>36</v>
      </c>
      <c r="E12" s="94">
        <v>30.56</v>
      </c>
      <c r="F12" s="94">
        <v>31.43</v>
      </c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94" t="s">
        <v>31</v>
      </c>
      <c r="B13" s="189" t="s">
        <v>31</v>
      </c>
      <c r="C13" s="94"/>
      <c r="D13" s="94"/>
      <c r="E13" s="94"/>
      <c r="F13" s="94"/>
      <c r="G13" s="74"/>
      <c r="H13" s="74"/>
      <c r="I13" s="74"/>
      <c r="J13" s="74"/>
      <c r="K13" s="74"/>
      <c r="L13" s="74"/>
      <c r="M13" s="74"/>
      <c r="N13" s="74"/>
    </row>
    <row r="14" spans="1:14" ht="15.75" x14ac:dyDescent="0.25">
      <c r="A14" s="94"/>
      <c r="B14" s="94"/>
      <c r="C14" s="94" t="s">
        <v>247</v>
      </c>
      <c r="D14" s="94" t="s">
        <v>247</v>
      </c>
      <c r="E14" s="94" t="s">
        <v>247</v>
      </c>
      <c r="F14" s="94" t="s">
        <v>247</v>
      </c>
      <c r="G14" s="131"/>
      <c r="H14" s="131"/>
      <c r="I14" s="131"/>
      <c r="J14" s="131"/>
      <c r="K14" s="74"/>
      <c r="L14" s="74"/>
      <c r="M14" s="74"/>
      <c r="N14" s="74"/>
    </row>
    <row r="15" spans="1:14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x14ac:dyDescent="0.25">
      <c r="A16" s="74"/>
      <c r="B16" s="6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14" x14ac:dyDescent="0.25">
      <c r="A17" s="74"/>
      <c r="B17" s="115" t="s">
        <v>489</v>
      </c>
      <c r="C17" s="74"/>
      <c r="D17" s="128"/>
      <c r="E17" s="114"/>
      <c r="F17" s="138" t="s">
        <v>486</v>
      </c>
      <c r="G17" s="140"/>
      <c r="H17" s="74"/>
      <c r="I17" s="74"/>
      <c r="J17" s="74"/>
      <c r="K17" s="74"/>
      <c r="L17" s="74"/>
      <c r="M17" s="74"/>
      <c r="N17" s="74"/>
    </row>
    <row r="18" spans="1:14" x14ac:dyDescent="0.25">
      <c r="A18" s="74"/>
      <c r="B18" s="88" t="s">
        <v>152</v>
      </c>
      <c r="C18" s="74"/>
      <c r="D18" s="1" t="s">
        <v>153</v>
      </c>
      <c r="E18" s="1"/>
      <c r="F18" s="141" t="s">
        <v>130</v>
      </c>
      <c r="G18" s="1"/>
      <c r="H18" s="74"/>
      <c r="I18" s="74"/>
      <c r="J18" s="74"/>
      <c r="K18" s="74"/>
      <c r="L18" s="74"/>
      <c r="M18" s="74"/>
      <c r="N18" s="74"/>
    </row>
    <row r="19" spans="1:14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ht="15.75" x14ac:dyDescent="0.25">
      <c r="A20" s="466" t="s">
        <v>398</v>
      </c>
      <c r="B20" s="466"/>
      <c r="C20" s="466"/>
      <c r="D20" s="466"/>
      <c r="E20" s="466"/>
      <c r="F20" s="466"/>
      <c r="G20" s="466"/>
      <c r="H20" s="466"/>
      <c r="I20" s="466"/>
      <c r="J20" s="466"/>
      <c r="K20" s="74"/>
      <c r="L20" s="74"/>
      <c r="M20" s="74"/>
      <c r="N20" s="74"/>
    </row>
    <row r="21" spans="1:14" ht="15.75" x14ac:dyDescent="0.25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74"/>
      <c r="L21" s="74"/>
      <c r="M21" s="74"/>
      <c r="N21" s="74"/>
    </row>
    <row r="22" spans="1:14" ht="15.75" x14ac:dyDescent="0.25">
      <c r="A22" s="467" t="s">
        <v>387</v>
      </c>
      <c r="B22" s="467"/>
      <c r="C22" s="174"/>
      <c r="D22" s="174"/>
      <c r="E22" s="174"/>
      <c r="F22" s="174"/>
      <c r="G22" s="174"/>
      <c r="H22" s="464" t="s">
        <v>400</v>
      </c>
      <c r="I22" s="464"/>
      <c r="J22" s="464"/>
    </row>
    <row r="23" spans="1:14" ht="15" customHeight="1" x14ac:dyDescent="0.25">
      <c r="A23" s="100" t="s">
        <v>134</v>
      </c>
      <c r="B23" s="100" t="s">
        <v>374</v>
      </c>
      <c r="C23" s="100" t="s">
        <v>375</v>
      </c>
      <c r="D23" s="96" t="s">
        <v>363</v>
      </c>
      <c r="E23" s="96" t="s">
        <v>364</v>
      </c>
      <c r="F23" s="96" t="s">
        <v>21</v>
      </c>
      <c r="G23" s="70" t="s">
        <v>376</v>
      </c>
      <c r="H23" s="70" t="s">
        <v>377</v>
      </c>
      <c r="I23" s="70" t="s">
        <v>378</v>
      </c>
      <c r="J23" s="70" t="s">
        <v>379</v>
      </c>
    </row>
    <row r="24" spans="1:14" x14ac:dyDescent="0.25">
      <c r="A24" s="100">
        <v>1</v>
      </c>
      <c r="B24" s="100">
        <v>2</v>
      </c>
      <c r="C24" s="100">
        <v>3</v>
      </c>
      <c r="D24" s="96">
        <v>4</v>
      </c>
      <c r="E24" s="96">
        <v>5</v>
      </c>
      <c r="F24" s="96">
        <v>6</v>
      </c>
      <c r="G24" s="100">
        <v>7</v>
      </c>
      <c r="H24" s="100">
        <v>8</v>
      </c>
      <c r="I24" s="100">
        <v>9</v>
      </c>
      <c r="J24" s="36">
        <v>10</v>
      </c>
    </row>
    <row r="25" spans="1:14" ht="25.5" x14ac:dyDescent="0.25">
      <c r="A25" s="100">
        <v>1</v>
      </c>
      <c r="B25" s="111" t="s">
        <v>380</v>
      </c>
      <c r="C25" s="100" t="s">
        <v>383</v>
      </c>
      <c r="D25" s="100"/>
      <c r="E25" s="100"/>
      <c r="F25" s="100"/>
      <c r="G25" s="100"/>
      <c r="H25" s="100"/>
      <c r="I25" s="100"/>
      <c r="J25" s="36"/>
    </row>
    <row r="26" spans="1:14" ht="38.25" x14ac:dyDescent="0.25">
      <c r="A26" s="100">
        <v>2</v>
      </c>
      <c r="B26" s="111" t="s">
        <v>381</v>
      </c>
      <c r="C26" s="100" t="s">
        <v>383</v>
      </c>
      <c r="D26" s="100"/>
      <c r="E26" s="100"/>
      <c r="F26" s="100"/>
      <c r="G26" s="100"/>
      <c r="H26" s="100"/>
      <c r="I26" s="100"/>
      <c r="J26" s="36"/>
    </row>
    <row r="27" spans="1:14" x14ac:dyDescent="0.25">
      <c r="A27" s="100">
        <v>3</v>
      </c>
      <c r="B27" s="111" t="s">
        <v>382</v>
      </c>
      <c r="C27" s="100" t="s">
        <v>383</v>
      </c>
      <c r="D27" s="100"/>
      <c r="E27" s="100"/>
      <c r="F27" s="100"/>
      <c r="G27" s="100"/>
      <c r="H27" s="100"/>
      <c r="I27" s="100"/>
      <c r="J27" s="36"/>
    </row>
    <row r="28" spans="1:14" x14ac:dyDescent="0.25">
      <c r="A28" s="100">
        <v>4</v>
      </c>
      <c r="B28" s="100"/>
      <c r="C28" s="100" t="s">
        <v>384</v>
      </c>
      <c r="D28" s="100"/>
      <c r="E28" s="100"/>
      <c r="F28" s="100"/>
      <c r="G28" s="100"/>
      <c r="H28" s="100"/>
      <c r="I28" s="100"/>
      <c r="J28" s="36"/>
    </row>
    <row r="29" spans="1:14" x14ac:dyDescent="0.25">
      <c r="A29" s="132"/>
      <c r="B29" s="132"/>
      <c r="C29" s="132"/>
      <c r="D29" s="132"/>
      <c r="E29" s="132"/>
      <c r="F29" s="132"/>
      <c r="G29" s="132"/>
      <c r="H29" s="132"/>
      <c r="I29" s="132"/>
      <c r="J29" s="177"/>
    </row>
    <row r="30" spans="1:14" x14ac:dyDescent="0.25">
      <c r="A30" s="132"/>
      <c r="B30" s="155"/>
      <c r="C30" s="74"/>
      <c r="D30" s="128"/>
      <c r="E30" s="114"/>
      <c r="F30" s="138"/>
      <c r="G30" s="132"/>
      <c r="H30" s="132"/>
      <c r="I30" s="132"/>
      <c r="J30" s="177"/>
    </row>
    <row r="31" spans="1:14" x14ac:dyDescent="0.25">
      <c r="A31" s="132"/>
      <c r="B31" s="99" t="s">
        <v>152</v>
      </c>
      <c r="C31" s="74"/>
      <c r="D31" s="1" t="s">
        <v>153</v>
      </c>
      <c r="E31" s="1"/>
      <c r="F31" s="141" t="s">
        <v>130</v>
      </c>
      <c r="G31" s="132"/>
      <c r="H31" s="132"/>
      <c r="I31" s="132"/>
      <c r="J31" s="177"/>
    </row>
    <row r="32" spans="1:14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01"/>
    </row>
    <row r="33" spans="1:10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01"/>
    </row>
    <row r="34" spans="1:10" ht="15.75" x14ac:dyDescent="0.25">
      <c r="A34" s="463" t="s">
        <v>388</v>
      </c>
      <c r="B34" s="463"/>
      <c r="C34" s="112"/>
      <c r="D34" s="112"/>
      <c r="E34" s="112"/>
      <c r="F34" s="112"/>
      <c r="G34" s="112"/>
      <c r="H34" s="465" t="s">
        <v>401</v>
      </c>
      <c r="I34" s="465"/>
      <c r="J34" s="465"/>
    </row>
    <row r="35" spans="1:10" ht="25.5" x14ac:dyDescent="0.25">
      <c r="A35" s="100" t="s">
        <v>134</v>
      </c>
      <c r="B35" s="100" t="s">
        <v>374</v>
      </c>
      <c r="C35" s="100" t="s">
        <v>375</v>
      </c>
      <c r="D35" s="96" t="s">
        <v>363</v>
      </c>
      <c r="E35" s="96" t="s">
        <v>364</v>
      </c>
      <c r="F35" s="96" t="s">
        <v>21</v>
      </c>
      <c r="G35" s="70" t="s">
        <v>376</v>
      </c>
      <c r="H35" s="70" t="s">
        <v>377</v>
      </c>
      <c r="I35" s="70" t="s">
        <v>378</v>
      </c>
      <c r="J35" s="70" t="s">
        <v>379</v>
      </c>
    </row>
    <row r="36" spans="1:10" x14ac:dyDescent="0.25">
      <c r="A36" s="100">
        <v>1</v>
      </c>
      <c r="B36" s="100">
        <v>2</v>
      </c>
      <c r="C36" s="100">
        <v>3</v>
      </c>
      <c r="D36" s="96">
        <v>4</v>
      </c>
      <c r="E36" s="96">
        <v>5</v>
      </c>
      <c r="F36" s="96">
        <v>6</v>
      </c>
      <c r="G36" s="100">
        <v>7</v>
      </c>
      <c r="H36" s="100">
        <v>8</v>
      </c>
      <c r="I36" s="100">
        <v>9</v>
      </c>
      <c r="J36" s="36">
        <v>10</v>
      </c>
    </row>
    <row r="37" spans="1:10" ht="25.5" x14ac:dyDescent="0.25">
      <c r="A37" s="100">
        <v>1</v>
      </c>
      <c r="B37" s="111" t="s">
        <v>385</v>
      </c>
      <c r="C37" s="100" t="s">
        <v>383</v>
      </c>
      <c r="D37" s="100"/>
      <c r="E37" s="100"/>
      <c r="F37" s="100"/>
      <c r="G37" s="100"/>
      <c r="H37" s="100"/>
      <c r="I37" s="100"/>
      <c r="J37" s="36"/>
    </row>
    <row r="38" spans="1:10" x14ac:dyDescent="0.25">
      <c r="A38" s="100">
        <v>2</v>
      </c>
      <c r="B38" s="111" t="s">
        <v>386</v>
      </c>
      <c r="C38" s="100" t="s">
        <v>383</v>
      </c>
      <c r="D38" s="100"/>
      <c r="E38" s="100"/>
      <c r="F38" s="100"/>
      <c r="G38" s="100"/>
      <c r="H38" s="100"/>
      <c r="I38" s="100"/>
      <c r="J38" s="36"/>
    </row>
    <row r="39" spans="1:10" x14ac:dyDescent="0.25">
      <c r="A39" s="132"/>
      <c r="B39" s="155"/>
      <c r="C39" s="74"/>
      <c r="D39" s="128"/>
      <c r="E39" s="114"/>
      <c r="F39" s="138"/>
      <c r="G39" s="132"/>
      <c r="H39" s="132"/>
      <c r="I39" s="132"/>
      <c r="J39" s="177"/>
    </row>
    <row r="40" spans="1:10" x14ac:dyDescent="0.25">
      <c r="A40" s="112"/>
      <c r="B40" s="99" t="s">
        <v>152</v>
      </c>
      <c r="C40" s="74"/>
      <c r="D40" s="1" t="s">
        <v>153</v>
      </c>
      <c r="E40" s="1"/>
      <c r="F40" s="141" t="s">
        <v>130</v>
      </c>
      <c r="G40" s="112"/>
      <c r="H40" s="112"/>
      <c r="I40" s="112"/>
      <c r="J40" s="79"/>
    </row>
    <row r="41" spans="1:10" x14ac:dyDescent="0.25">
      <c r="A41" s="112"/>
      <c r="B41" s="99"/>
      <c r="C41" s="74"/>
      <c r="D41" s="1"/>
      <c r="E41" s="1"/>
      <c r="F41" s="99"/>
      <c r="G41" s="112"/>
      <c r="H41" s="112"/>
      <c r="I41" s="112"/>
      <c r="J41" s="79"/>
    </row>
    <row r="42" spans="1:10" ht="15.75" x14ac:dyDescent="0.25">
      <c r="A42" s="466" t="s">
        <v>399</v>
      </c>
      <c r="B42" s="466"/>
      <c r="C42" s="466"/>
      <c r="D42" s="466"/>
      <c r="E42" s="466"/>
      <c r="F42" s="466"/>
      <c r="G42" s="466"/>
      <c r="H42" s="466"/>
      <c r="I42" s="466"/>
      <c r="J42" s="466"/>
    </row>
    <row r="43" spans="1:10" ht="15.75" customHeight="1" x14ac:dyDescent="0.25">
      <c r="A43" s="463" t="s">
        <v>397</v>
      </c>
      <c r="B43" s="463"/>
      <c r="C43" s="112"/>
      <c r="D43" s="112"/>
      <c r="E43" s="112"/>
      <c r="F43" s="112"/>
      <c r="G43" s="112"/>
      <c r="H43" s="465" t="s">
        <v>402</v>
      </c>
      <c r="I43" s="465"/>
      <c r="J43" s="465"/>
    </row>
    <row r="44" spans="1:10" ht="25.5" x14ac:dyDescent="0.25">
      <c r="A44" s="100" t="s">
        <v>134</v>
      </c>
      <c r="B44" s="100" t="s">
        <v>374</v>
      </c>
      <c r="C44" s="100" t="s">
        <v>375</v>
      </c>
      <c r="D44" s="96" t="s">
        <v>363</v>
      </c>
      <c r="E44" s="96" t="s">
        <v>364</v>
      </c>
      <c r="F44" s="96" t="s">
        <v>21</v>
      </c>
      <c r="G44" s="70" t="s">
        <v>376</v>
      </c>
      <c r="H44" s="70" t="s">
        <v>377</v>
      </c>
      <c r="I44" s="70" t="s">
        <v>378</v>
      </c>
      <c r="J44" s="70" t="s">
        <v>379</v>
      </c>
    </row>
    <row r="45" spans="1:10" x14ac:dyDescent="0.25">
      <c r="A45" s="100">
        <v>1</v>
      </c>
      <c r="B45" s="100">
        <v>2</v>
      </c>
      <c r="C45" s="100">
        <v>3</v>
      </c>
      <c r="D45" s="100">
        <v>4</v>
      </c>
      <c r="E45" s="100">
        <v>5</v>
      </c>
      <c r="F45" s="100">
        <v>6</v>
      </c>
      <c r="G45" s="100">
        <v>7</v>
      </c>
      <c r="H45" s="100">
        <v>8</v>
      </c>
      <c r="I45" s="100">
        <v>9</v>
      </c>
      <c r="J45" s="36">
        <v>10</v>
      </c>
    </row>
    <row r="46" spans="1:10" ht="25.5" x14ac:dyDescent="0.25">
      <c r="A46" s="100">
        <v>1</v>
      </c>
      <c r="B46" s="111" t="s">
        <v>389</v>
      </c>
      <c r="C46" s="100" t="s">
        <v>383</v>
      </c>
      <c r="D46" s="100"/>
      <c r="E46" s="100"/>
      <c r="F46" s="100"/>
      <c r="G46" s="100"/>
      <c r="H46" s="100"/>
      <c r="I46" s="100"/>
      <c r="J46" s="172"/>
    </row>
    <row r="47" spans="1:10" ht="21" customHeight="1" x14ac:dyDescent="0.25">
      <c r="A47" s="176"/>
      <c r="B47" s="175" t="s">
        <v>390</v>
      </c>
      <c r="C47" s="100" t="s">
        <v>383</v>
      </c>
      <c r="D47" s="100"/>
      <c r="E47" s="100"/>
      <c r="F47" s="100"/>
      <c r="G47" s="100"/>
      <c r="H47" s="100"/>
      <c r="I47" s="100"/>
      <c r="J47" s="172"/>
    </row>
    <row r="48" spans="1:10" ht="16.5" customHeight="1" x14ac:dyDescent="0.25">
      <c r="A48" s="117"/>
      <c r="B48" s="175" t="s">
        <v>391</v>
      </c>
      <c r="C48" s="100" t="s">
        <v>383</v>
      </c>
      <c r="D48" s="100"/>
      <c r="E48" s="100"/>
      <c r="F48" s="100"/>
      <c r="G48" s="100"/>
      <c r="H48" s="100"/>
      <c r="I48" s="100"/>
      <c r="J48" s="172"/>
    </row>
    <row r="49" spans="1:10" ht="27.75" customHeight="1" x14ac:dyDescent="0.25">
      <c r="A49" s="117"/>
      <c r="B49" s="175" t="s">
        <v>392</v>
      </c>
      <c r="C49" s="100" t="s">
        <v>383</v>
      </c>
      <c r="D49" s="100"/>
      <c r="E49" s="100"/>
      <c r="F49" s="100"/>
      <c r="G49" s="100"/>
      <c r="H49" s="100"/>
      <c r="I49" s="100"/>
      <c r="J49" s="172"/>
    </row>
    <row r="50" spans="1:10" x14ac:dyDescent="0.25">
      <c r="A50" s="178"/>
      <c r="B50" s="155"/>
      <c r="C50" s="74"/>
      <c r="D50" s="128"/>
      <c r="E50" s="114"/>
      <c r="F50" s="138"/>
      <c r="G50" s="132"/>
      <c r="H50" s="132"/>
      <c r="I50" s="132"/>
      <c r="J50" s="179"/>
    </row>
    <row r="51" spans="1:10" x14ac:dyDescent="0.25">
      <c r="A51" s="178"/>
      <c r="B51" s="99" t="s">
        <v>152</v>
      </c>
      <c r="C51" s="74"/>
      <c r="D51" s="1" t="s">
        <v>153</v>
      </c>
      <c r="E51" s="1"/>
      <c r="F51" s="141" t="s">
        <v>130</v>
      </c>
      <c r="G51" s="132"/>
      <c r="H51" s="132"/>
      <c r="I51" s="132"/>
      <c r="J51" s="179"/>
    </row>
    <row r="52" spans="1:10" x14ac:dyDescent="0.25">
      <c r="A52" s="112"/>
      <c r="B52" s="112"/>
      <c r="C52" s="112"/>
      <c r="D52" s="112"/>
      <c r="E52" s="112"/>
      <c r="F52" s="112"/>
      <c r="G52" s="112"/>
      <c r="H52" s="112"/>
      <c r="I52" s="112"/>
      <c r="J52" s="79"/>
    </row>
    <row r="53" spans="1:10" ht="15.75" x14ac:dyDescent="0.25">
      <c r="A53" s="463" t="s">
        <v>256</v>
      </c>
      <c r="B53" s="463"/>
      <c r="C53" s="112"/>
      <c r="D53" s="112"/>
      <c r="E53" s="112"/>
      <c r="F53" s="112"/>
      <c r="G53" s="112"/>
      <c r="H53" s="465" t="s">
        <v>403</v>
      </c>
      <c r="I53" s="465"/>
      <c r="J53" s="465"/>
    </row>
    <row r="54" spans="1:10" ht="25.5" x14ac:dyDescent="0.25">
      <c r="A54" s="100" t="s">
        <v>134</v>
      </c>
      <c r="B54" s="100" t="s">
        <v>374</v>
      </c>
      <c r="C54" s="100" t="s">
        <v>375</v>
      </c>
      <c r="D54" s="96" t="s">
        <v>363</v>
      </c>
      <c r="E54" s="96" t="s">
        <v>364</v>
      </c>
      <c r="F54" s="96" t="s">
        <v>21</v>
      </c>
      <c r="G54" s="70" t="s">
        <v>376</v>
      </c>
      <c r="H54" s="70" t="s">
        <v>377</v>
      </c>
      <c r="I54" s="70" t="s">
        <v>378</v>
      </c>
      <c r="J54" s="70" t="s">
        <v>379</v>
      </c>
    </row>
    <row r="55" spans="1:10" x14ac:dyDescent="0.25">
      <c r="A55" s="100">
        <v>1</v>
      </c>
      <c r="B55" s="100">
        <v>2</v>
      </c>
      <c r="C55" s="100">
        <v>3</v>
      </c>
      <c r="D55" s="100">
        <v>4</v>
      </c>
      <c r="E55" s="100">
        <v>5</v>
      </c>
      <c r="F55" s="100">
        <v>6</v>
      </c>
      <c r="G55" s="100">
        <v>7</v>
      </c>
      <c r="H55" s="100">
        <v>8</v>
      </c>
      <c r="I55" s="100">
        <v>9</v>
      </c>
      <c r="J55" s="36">
        <v>10</v>
      </c>
    </row>
    <row r="56" spans="1:10" x14ac:dyDescent="0.25">
      <c r="A56" s="100"/>
      <c r="B56" s="111" t="s">
        <v>393</v>
      </c>
      <c r="C56" s="100" t="s">
        <v>395</v>
      </c>
      <c r="D56" s="100"/>
      <c r="E56" s="100"/>
      <c r="F56" s="100"/>
      <c r="G56" s="100"/>
      <c r="H56" s="100"/>
      <c r="I56" s="100"/>
      <c r="J56" s="172"/>
    </row>
    <row r="57" spans="1:10" x14ac:dyDescent="0.25">
      <c r="A57" s="100"/>
      <c r="B57" s="175" t="s">
        <v>394</v>
      </c>
      <c r="C57" s="100" t="s">
        <v>395</v>
      </c>
      <c r="D57" s="100"/>
      <c r="E57" s="100"/>
      <c r="F57" s="100"/>
      <c r="G57" s="100"/>
      <c r="H57" s="100"/>
      <c r="I57" s="100"/>
      <c r="J57" s="172"/>
    </row>
    <row r="58" spans="1:10" ht="51" x14ac:dyDescent="0.25">
      <c r="A58" s="100"/>
      <c r="B58" s="175" t="s">
        <v>396</v>
      </c>
      <c r="C58" s="100" t="s">
        <v>395</v>
      </c>
      <c r="D58" s="100"/>
      <c r="E58" s="100"/>
      <c r="F58" s="100"/>
      <c r="G58" s="100"/>
      <c r="H58" s="100"/>
      <c r="I58" s="100"/>
      <c r="J58" s="172"/>
    </row>
    <row r="59" spans="1:10" x14ac:dyDescent="0.25">
      <c r="A59" s="100"/>
      <c r="B59" s="100"/>
      <c r="C59" s="100"/>
      <c r="D59" s="100"/>
      <c r="E59" s="100"/>
      <c r="F59" s="100"/>
      <c r="G59" s="100"/>
      <c r="H59" s="100"/>
      <c r="I59" s="100"/>
      <c r="J59" s="172"/>
    </row>
    <row r="60" spans="1:10" x14ac:dyDescent="0.25">
      <c r="A60" s="112"/>
      <c r="B60" s="155"/>
      <c r="C60" s="74"/>
      <c r="D60" s="128"/>
      <c r="E60" s="114"/>
      <c r="F60" s="138"/>
      <c r="G60" s="112"/>
      <c r="H60" s="112"/>
      <c r="I60" s="112"/>
      <c r="J60" s="79"/>
    </row>
    <row r="61" spans="1:10" x14ac:dyDescent="0.25">
      <c r="A61" s="112"/>
      <c r="B61" s="99" t="s">
        <v>152</v>
      </c>
      <c r="C61" s="74"/>
      <c r="D61" s="1" t="s">
        <v>153</v>
      </c>
      <c r="E61" s="1"/>
      <c r="F61" s="141" t="s">
        <v>130</v>
      </c>
      <c r="G61" s="112"/>
      <c r="H61" s="112"/>
      <c r="I61" s="112"/>
      <c r="J61" s="79"/>
    </row>
    <row r="62" spans="1:10" x14ac:dyDescent="0.25">
      <c r="A62" s="112"/>
      <c r="B62" s="112"/>
      <c r="C62" s="112"/>
      <c r="D62" s="112"/>
      <c r="E62" s="112"/>
      <c r="F62" s="112"/>
      <c r="G62" s="112"/>
      <c r="H62" s="112"/>
      <c r="I62" s="112"/>
      <c r="J62" s="79"/>
    </row>
    <row r="63" spans="1:10" ht="25.5" x14ac:dyDescent="0.25">
      <c r="A63" s="112"/>
      <c r="B63" s="130" t="s">
        <v>469</v>
      </c>
      <c r="C63" s="112"/>
      <c r="D63" s="112"/>
      <c r="E63" s="112"/>
      <c r="F63" s="112" t="s">
        <v>470</v>
      </c>
      <c r="G63" s="112"/>
      <c r="H63" s="112"/>
      <c r="I63" s="112"/>
      <c r="J63" s="79"/>
    </row>
    <row r="64" spans="1:10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79"/>
    </row>
    <row r="65" spans="1:10" x14ac:dyDescent="0.25">
      <c r="A65" s="112"/>
      <c r="B65" s="112"/>
      <c r="C65" s="112"/>
      <c r="D65" s="112"/>
      <c r="E65" s="112"/>
      <c r="F65" s="112"/>
      <c r="G65" s="112"/>
      <c r="H65" s="112"/>
      <c r="I65" s="112"/>
      <c r="J65" s="79"/>
    </row>
    <row r="66" spans="1:10" x14ac:dyDescent="0.25">
      <c r="A66" s="112"/>
      <c r="B66" s="112"/>
      <c r="C66" s="112"/>
      <c r="D66" s="112"/>
      <c r="E66" s="112"/>
      <c r="F66" s="112"/>
      <c r="G66" s="112"/>
      <c r="H66" s="112"/>
      <c r="I66" s="112"/>
      <c r="J66" s="79"/>
    </row>
    <row r="67" spans="1:10" x14ac:dyDescent="0.25">
      <c r="A67" s="112"/>
      <c r="B67" s="112"/>
      <c r="C67" s="112"/>
      <c r="D67" s="112"/>
      <c r="E67" s="112"/>
      <c r="F67" s="112"/>
      <c r="G67" s="112"/>
      <c r="H67" s="112"/>
      <c r="I67" s="112"/>
      <c r="J67" s="79"/>
    </row>
    <row r="68" spans="1:10" x14ac:dyDescent="0.25">
      <c r="A68" s="112"/>
      <c r="B68" s="112"/>
      <c r="C68" s="112"/>
      <c r="D68" s="112"/>
      <c r="E68" s="112"/>
      <c r="F68" s="112"/>
      <c r="G68" s="112"/>
      <c r="H68" s="112"/>
      <c r="I68" s="112"/>
      <c r="J68" s="79"/>
    </row>
    <row r="69" spans="1:10" x14ac:dyDescent="0.25">
      <c r="A69" s="112"/>
      <c r="B69" s="112"/>
      <c r="C69" s="112"/>
      <c r="D69" s="112"/>
      <c r="E69" s="112"/>
      <c r="F69" s="112"/>
      <c r="G69" s="112"/>
      <c r="H69" s="112"/>
      <c r="I69" s="112"/>
      <c r="J69" s="79"/>
    </row>
    <row r="70" spans="1:10" x14ac:dyDescent="0.25">
      <c r="A70" s="74"/>
      <c r="B70" s="74"/>
      <c r="C70" s="74"/>
      <c r="D70" s="74"/>
      <c r="E70" s="74"/>
      <c r="F70" s="74"/>
      <c r="G70" s="74"/>
      <c r="H70" s="74"/>
      <c r="I70" s="74"/>
    </row>
    <row r="71" spans="1:10" x14ac:dyDescent="0.25">
      <c r="A71" s="74"/>
      <c r="B71" s="74"/>
      <c r="C71" s="74"/>
      <c r="D71" s="74"/>
      <c r="E71" s="74"/>
      <c r="F71" s="74"/>
      <c r="G71" s="74"/>
      <c r="H71" s="74"/>
      <c r="I71" s="74"/>
    </row>
    <row r="72" spans="1:10" x14ac:dyDescent="0.25">
      <c r="A72" s="74"/>
      <c r="B72" s="74"/>
      <c r="C72" s="74"/>
      <c r="D72" s="74"/>
      <c r="E72" s="74"/>
      <c r="F72" s="74"/>
      <c r="G72" s="74"/>
      <c r="H72" s="74"/>
      <c r="I72" s="74"/>
    </row>
    <row r="73" spans="1:10" x14ac:dyDescent="0.25">
      <c r="A73" s="74"/>
      <c r="B73" s="74"/>
      <c r="C73" s="74"/>
      <c r="D73" s="74"/>
      <c r="E73" s="74"/>
      <c r="F73" s="74"/>
      <c r="G73" s="74"/>
      <c r="H73" s="74"/>
      <c r="I73" s="74"/>
    </row>
    <row r="74" spans="1:10" x14ac:dyDescent="0.25">
      <c r="A74" s="74"/>
      <c r="B74" s="74"/>
      <c r="C74" s="74"/>
      <c r="D74" s="74"/>
      <c r="E74" s="74"/>
      <c r="F74" s="74"/>
      <c r="G74" s="74"/>
      <c r="H74" s="74"/>
      <c r="I74" s="74"/>
    </row>
    <row r="75" spans="1:10" x14ac:dyDescent="0.25">
      <c r="A75" s="74"/>
      <c r="B75" s="74"/>
      <c r="C75" s="74"/>
      <c r="D75" s="74"/>
      <c r="E75" s="74"/>
      <c r="F75" s="74"/>
      <c r="G75" s="74"/>
      <c r="H75" s="74"/>
      <c r="I75" s="74"/>
    </row>
  </sheetData>
  <mergeCells count="17">
    <mergeCell ref="A4:E4"/>
    <mergeCell ref="E1:F1"/>
    <mergeCell ref="C7:F7"/>
    <mergeCell ref="C8:D8"/>
    <mergeCell ref="E8:F8"/>
    <mergeCell ref="B7:B9"/>
    <mergeCell ref="A7:A9"/>
    <mergeCell ref="A20:J20"/>
    <mergeCell ref="A22:B22"/>
    <mergeCell ref="A34:B34"/>
    <mergeCell ref="A43:B43"/>
    <mergeCell ref="A42:J42"/>
    <mergeCell ref="A53:B53"/>
    <mergeCell ref="H22:J22"/>
    <mergeCell ref="H34:J34"/>
    <mergeCell ref="H43:J43"/>
    <mergeCell ref="H53:J53"/>
  </mergeCells>
  <pageMargins left="1.04" right="0" top="0" bottom="0" header="0.59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фін план</vt:lpstr>
      <vt:lpstr>Аркуш1</vt:lpstr>
      <vt:lpstr>кап інвестиції</vt:lpstr>
      <vt:lpstr>кап будівництво</vt:lpstr>
      <vt:lpstr>залучені кошти</vt:lpstr>
      <vt:lpstr>трудові ресурси</vt:lpstr>
      <vt:lpstr>майно</vt:lpstr>
      <vt:lpstr>транспорт</vt:lpstr>
      <vt:lpstr>бізнес</vt:lpstr>
      <vt:lpstr>структура операц витрат за КВЕД</vt:lpstr>
      <vt:lpstr>Пояснювальна записка</vt:lpstr>
      <vt:lpstr>ЗВІТ!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Олена Городько</cp:lastModifiedBy>
  <cp:lastPrinted>2024-01-09T09:34:32Z</cp:lastPrinted>
  <dcterms:created xsi:type="dcterms:W3CDTF">2021-11-03T09:40:18Z</dcterms:created>
  <dcterms:modified xsi:type="dcterms:W3CDTF">2024-01-10T08:19:07Z</dcterms:modified>
</cp:coreProperties>
</file>