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1460" windowHeight="6855"/>
  </bookViews>
  <sheets>
    <sheet name="Додаток 1" sheetId="1" r:id="rId1"/>
    <sheet name="Додаток 2" sheetId="2" r:id="rId2"/>
    <sheet name="Додаток 3" sheetId="3" r:id="rId3"/>
  </sheets>
  <externalReferences>
    <externalReference r:id="rId4"/>
  </externalReferences>
  <calcPr calcId="125725"/>
</workbook>
</file>

<file path=xl/calcChain.xml><?xml version="1.0" encoding="utf-8"?>
<calcChain xmlns="http://schemas.openxmlformats.org/spreadsheetml/2006/main">
  <c r="H42" i="3"/>
  <c r="F42"/>
  <c r="D36"/>
  <c r="D16"/>
  <c r="E39" l="1"/>
  <c r="D48" l="1"/>
  <c r="J48" s="1"/>
  <c r="K48" s="1"/>
  <c r="J45"/>
  <c r="J49" s="1"/>
  <c r="H45"/>
  <c r="H49" s="1"/>
  <c r="F45"/>
  <c r="F49" s="1"/>
  <c r="K44"/>
  <c r="I44"/>
  <c r="I45" s="1"/>
  <c r="I49" s="1"/>
  <c r="G44"/>
  <c r="E40"/>
  <c r="E38"/>
  <c r="E37"/>
  <c r="E35"/>
  <c r="E34"/>
  <c r="E33"/>
  <c r="E31"/>
  <c r="E30"/>
  <c r="E29"/>
  <c r="E27"/>
  <c r="E26"/>
  <c r="E25"/>
  <c r="E23"/>
  <c r="E22"/>
  <c r="E20"/>
  <c r="E18"/>
  <c r="K17"/>
  <c r="G17"/>
  <c r="E17"/>
  <c r="D24" l="1"/>
  <c r="D28"/>
  <c r="D15" s="1"/>
  <c r="D32"/>
  <c r="E44"/>
  <c r="E16"/>
  <c r="E24"/>
  <c r="E28"/>
  <c r="E32"/>
  <c r="E36"/>
  <c r="I20"/>
  <c r="I22"/>
  <c r="I23"/>
  <c r="I26"/>
  <c r="I27"/>
  <c r="H29"/>
  <c r="H30"/>
  <c r="I30" s="1"/>
  <c r="H31"/>
  <c r="I31" s="1"/>
  <c r="H33"/>
  <c r="H34"/>
  <c r="I34" s="1"/>
  <c r="H35"/>
  <c r="I35" s="1"/>
  <c r="H37"/>
  <c r="H38"/>
  <c r="I38" s="1"/>
  <c r="H39"/>
  <c r="I39" s="1"/>
  <c r="J40"/>
  <c r="K40" s="1"/>
  <c r="E48"/>
  <c r="H48"/>
  <c r="I48" s="1"/>
  <c r="G20"/>
  <c r="K20"/>
  <c r="G22"/>
  <c r="K22"/>
  <c r="G23"/>
  <c r="K23"/>
  <c r="G26"/>
  <c r="K26"/>
  <c r="G27"/>
  <c r="K27"/>
  <c r="J29"/>
  <c r="G30"/>
  <c r="J30"/>
  <c r="K30" s="1"/>
  <c r="G31"/>
  <c r="J31"/>
  <c r="K31" s="1"/>
  <c r="F33"/>
  <c r="J33"/>
  <c r="F34"/>
  <c r="G34" s="1"/>
  <c r="J34"/>
  <c r="K34" s="1"/>
  <c r="F35"/>
  <c r="G35" s="1"/>
  <c r="J35"/>
  <c r="K35" s="1"/>
  <c r="F37"/>
  <c r="J37"/>
  <c r="F38"/>
  <c r="G38" s="1"/>
  <c r="J38"/>
  <c r="K38" s="1"/>
  <c r="F39"/>
  <c r="G39" s="1"/>
  <c r="J39"/>
  <c r="K39" s="1"/>
  <c r="H40"/>
  <c r="I40" s="1"/>
  <c r="G45"/>
  <c r="G49" s="1"/>
  <c r="K45"/>
  <c r="K49" s="1"/>
  <c r="I17"/>
  <c r="F48"/>
  <c r="G48" s="1"/>
  <c r="E15" l="1"/>
  <c r="F32"/>
  <c r="G33"/>
  <c r="G32" s="1"/>
  <c r="F24"/>
  <c r="G25"/>
  <c r="G24" s="1"/>
  <c r="F16"/>
  <c r="G18"/>
  <c r="G16" s="1"/>
  <c r="I37"/>
  <c r="I36" s="1"/>
  <c r="H36"/>
  <c r="J32"/>
  <c r="K33"/>
  <c r="K32" s="1"/>
  <c r="J24"/>
  <c r="K25"/>
  <c r="K24" s="1"/>
  <c r="J16"/>
  <c r="K18"/>
  <c r="K16" s="1"/>
  <c r="I33"/>
  <c r="I32" s="1"/>
  <c r="H32"/>
  <c r="F36"/>
  <c r="G37"/>
  <c r="G36" s="1"/>
  <c r="F28"/>
  <c r="G29"/>
  <c r="G28" s="1"/>
  <c r="I29"/>
  <c r="I28" s="1"/>
  <c r="H28"/>
  <c r="J36"/>
  <c r="K37"/>
  <c r="K36" s="1"/>
  <c r="J28"/>
  <c r="K29"/>
  <c r="K28" s="1"/>
  <c r="I25"/>
  <c r="I24" s="1"/>
  <c r="H24"/>
  <c r="I18"/>
  <c r="I16" s="1"/>
  <c r="H16"/>
  <c r="H15" s="1"/>
  <c r="H51" s="1"/>
  <c r="I15" l="1"/>
  <c r="I42"/>
  <c r="I51" s="1"/>
  <c r="G15"/>
  <c r="G42" s="1"/>
  <c r="G51" s="1"/>
  <c r="H52"/>
  <c r="H53"/>
  <c r="H54" s="1"/>
  <c r="K15"/>
  <c r="K42" s="1"/>
  <c r="K51" s="1"/>
  <c r="J15"/>
  <c r="J42" s="1"/>
  <c r="F15"/>
  <c r="F51" l="1"/>
  <c r="F52" s="1"/>
  <c r="D42"/>
  <c r="F53"/>
  <c r="F54" s="1"/>
  <c r="J51"/>
  <c r="J52" s="1"/>
  <c r="J53"/>
  <c r="J54" s="1"/>
  <c r="E42" l="1"/>
  <c r="D53"/>
  <c r="D54" s="1"/>
  <c r="D56" l="1"/>
  <c r="D52"/>
  <c r="E51"/>
  <c r="E56" s="1"/>
  <c r="E23" i="2" l="1"/>
  <c r="E19"/>
  <c r="J15"/>
  <c r="I15"/>
  <c r="F15"/>
  <c r="H34"/>
  <c r="E33"/>
  <c r="E37" s="1"/>
  <c r="H32"/>
  <c r="E36"/>
  <c r="J29"/>
  <c r="J33" s="1"/>
  <c r="J37" s="1"/>
  <c r="I29"/>
  <c r="I33" s="1"/>
  <c r="I37" s="1"/>
  <c r="F29"/>
  <c r="F33" s="1"/>
  <c r="F37" s="1"/>
  <c r="F23"/>
  <c r="E22"/>
  <c r="J21"/>
  <c r="I21"/>
  <c r="F21"/>
  <c r="H13" i="1"/>
  <c r="I13" s="1"/>
  <c r="H12"/>
  <c r="I12" s="1"/>
  <c r="H10"/>
  <c r="I10" s="1"/>
  <c r="G13"/>
  <c r="G12"/>
  <c r="G10"/>
  <c r="E13"/>
  <c r="E12"/>
  <c r="E10"/>
  <c r="C13"/>
  <c r="C12"/>
  <c r="C10"/>
  <c r="J19" i="2" l="1"/>
  <c r="E44"/>
  <c r="I19"/>
  <c r="F19"/>
  <c r="F20"/>
  <c r="I20"/>
  <c r="J20"/>
  <c r="J22"/>
  <c r="J44" s="1"/>
  <c r="J23"/>
  <c r="I22"/>
  <c r="I23"/>
  <c r="F22"/>
  <c r="I44" l="1"/>
  <c r="F44"/>
  <c r="J32"/>
  <c r="F24"/>
  <c r="I24"/>
  <c r="I32" s="1"/>
  <c r="J24"/>
  <c r="J28"/>
  <c r="E28"/>
  <c r="J30" l="1"/>
  <c r="J27"/>
  <c r="J36"/>
  <c r="E30"/>
  <c r="E34" s="1"/>
  <c r="F32"/>
  <c r="F28"/>
  <c r="I36"/>
  <c r="I28"/>
  <c r="E27" l="1"/>
  <c r="I30"/>
  <c r="I27" s="1"/>
  <c r="F36"/>
  <c r="F30"/>
  <c r="F34" s="1"/>
  <c r="F38" s="1"/>
  <c r="E38"/>
  <c r="E31"/>
  <c r="E35" s="1"/>
  <c r="J38"/>
  <c r="J34"/>
  <c r="J31" s="1"/>
  <c r="J35" s="1"/>
  <c r="I38" l="1"/>
  <c r="I34"/>
  <c r="I31" s="1"/>
  <c r="I35" s="1"/>
  <c r="F31"/>
  <c r="F35" s="1"/>
  <c r="F27"/>
</calcChain>
</file>

<file path=xl/sharedStrings.xml><?xml version="1.0" encoding="utf-8"?>
<sst xmlns="http://schemas.openxmlformats.org/spreadsheetml/2006/main" count="243" uniqueCount="171">
  <si>
    <t>Категорії споживачів</t>
  </si>
  <si>
    <t>Тарифи на виробництво теплової енергії</t>
  </si>
  <si>
    <t xml:space="preserve">Тарифи на транспортування теплової енергії </t>
  </si>
  <si>
    <t>Тарифи на постачання теплової енергії</t>
  </si>
  <si>
    <t>грн/Гкал без ПДВ</t>
  </si>
  <si>
    <t>грн/Гкал з ПДВ</t>
  </si>
  <si>
    <t xml:space="preserve">Населення </t>
  </si>
  <si>
    <t>Релігійні організації</t>
  </si>
  <si>
    <t xml:space="preserve">Бюджетні установи </t>
  </si>
  <si>
    <t>Інші споживачі</t>
  </si>
  <si>
    <t>Тарифи на теплову енергію та комунальні послуги з постачання теплової енергії</t>
  </si>
  <si>
    <t>Керуючий справами</t>
  </si>
  <si>
    <t>Тарифи на теплову енергію/ комунальну послугу з постачання теплової енергії (одноставковий тариф) з прибутком*</t>
  </si>
  <si>
    <t>*)Тариф на теплову енергію з врахуванням 4% прибутку на теплову енергію, згідно постанови КМУ від01.06.2021 № 869.</t>
  </si>
  <si>
    <t>Ганна САЛАМАТІНА</t>
  </si>
  <si>
    <t>До рішення виконавчого комітету</t>
  </si>
  <si>
    <t>Боярської міської ради</t>
  </si>
  <si>
    <t>РОЗРАХУНОК</t>
  </si>
  <si>
    <t>(без податку на додану вартість)</t>
  </si>
  <si>
    <t>№ з/п</t>
  </si>
  <si>
    <t>Одиниці виміру</t>
  </si>
  <si>
    <t>тис. грн</t>
  </si>
  <si>
    <t>1.2.</t>
  </si>
  <si>
    <t>прямі витрати на оплату праці</t>
  </si>
  <si>
    <t>1.3.</t>
  </si>
  <si>
    <t>відрахування на соціальні заходи</t>
  </si>
  <si>
    <t>амортизаційні відрахування</t>
  </si>
  <si>
    <t>інші прямі витрати</t>
  </si>
  <si>
    <t>1.4</t>
  </si>
  <si>
    <t>витрати на оплату праці</t>
  </si>
  <si>
    <t>інші витрати</t>
  </si>
  <si>
    <t>2.1.</t>
  </si>
  <si>
    <t>2.2.</t>
  </si>
  <si>
    <t>2.3.</t>
  </si>
  <si>
    <t>3.1.</t>
  </si>
  <si>
    <t>3.2.</t>
  </si>
  <si>
    <t>3.3.</t>
  </si>
  <si>
    <t>Фінансові витрати</t>
  </si>
  <si>
    <t>8.1.</t>
  </si>
  <si>
    <t>податок на прибуток</t>
  </si>
  <si>
    <t>8.2.</t>
  </si>
  <si>
    <t>інше використання прибутку</t>
  </si>
  <si>
    <t>грн/Гкал</t>
  </si>
  <si>
    <t>Гкал</t>
  </si>
  <si>
    <t>корисний відпуск теплової енергії інших власників</t>
  </si>
  <si>
    <t>населення</t>
  </si>
  <si>
    <t>релігійних організацій</t>
  </si>
  <si>
    <t>інших споживачів</t>
  </si>
  <si>
    <t>тарифів на теплову енергію</t>
  </si>
  <si>
    <t xml:space="preserve">                                                              по КП "БГВУЖКГ" на опалювальний період 2024-2025 р.р.</t>
  </si>
  <si>
    <t>Найменування показника</t>
  </si>
  <si>
    <t>Сумарні та середньозважені показники</t>
  </si>
  <si>
    <t>На потреби споживачів</t>
  </si>
  <si>
    <t>бюджетних установ</t>
  </si>
  <si>
    <t>Тариф на виробництво теплової енергії, зокрема:</t>
  </si>
  <si>
    <t>1.1</t>
  </si>
  <si>
    <t>повна планована собівартість виробництва теплової енергії</t>
  </si>
  <si>
    <t>витрати на відшкодування втрат</t>
  </si>
  <si>
    <t>планований прибуток</t>
  </si>
  <si>
    <t>2.</t>
  </si>
  <si>
    <t>Тариф на транспортування теплової енергії, зокрема:</t>
  </si>
  <si>
    <t>повна планована собівартість транспортування теплової енергії</t>
  </si>
  <si>
    <t>витрати на відшкодування втрат теплової енергії в теплових мережах (у тому числі понаднормових втрат) в грошовому виразі</t>
  </si>
  <si>
    <t>Тариф на постачання теплової енергії, зокрема:</t>
  </si>
  <si>
    <t>повна планована собівартість постачання теплової енергії</t>
  </si>
  <si>
    <t>Тариф на теплову енергію, зокрема:</t>
  </si>
  <si>
    <t>4.1.</t>
  </si>
  <si>
    <t>повна планована собівартість теплової енергії</t>
  </si>
  <si>
    <t>4.2.</t>
  </si>
  <si>
    <t>4.3.</t>
  </si>
  <si>
    <t>планований прибуток*</t>
  </si>
  <si>
    <t>Річні плановані доходи від виробництва, транспортування, постачання теплової енергії, усього, зокрема:</t>
  </si>
  <si>
    <t>5.1.</t>
  </si>
  <si>
    <t>повна планована собівартість виробництва, транспортування, постачання теплової енергії</t>
  </si>
  <si>
    <t>5.2.</t>
  </si>
  <si>
    <t>5.3.</t>
  </si>
  <si>
    <t>планований прибуток від виробництва, транспортування, постачання теплової енергії</t>
  </si>
  <si>
    <t>Річні плановані доходи від виробництва, транспортування, постачання теплової енергії без транспортування мережами ліцензіата теплової енергії інших власників, усього, зокрема:</t>
  </si>
  <si>
    <t>6.1.</t>
  </si>
  <si>
    <t>6.2.</t>
  </si>
  <si>
    <t>6.3.</t>
  </si>
  <si>
    <t>Планований корисний відпуск з мереж ліцензіата теплової енергії власним споживачам та теплової енергії інших власників, зокрема:</t>
  </si>
  <si>
    <t>7.1.</t>
  </si>
  <si>
    <t>корисний відпуск теплової енергії власним споживачам</t>
  </si>
  <si>
    <t>7.2.</t>
  </si>
  <si>
    <t>Рівні рентабельності тарифів:</t>
  </si>
  <si>
    <t>на виробництво теплової енергії</t>
  </si>
  <si>
    <t>%</t>
  </si>
  <si>
    <t>на транспортування теплової енергії</t>
  </si>
  <si>
    <t>8.3</t>
  </si>
  <si>
    <t>на постачання теплової енергії</t>
  </si>
  <si>
    <t>8.4</t>
  </si>
  <si>
    <t>на теплову енергію</t>
  </si>
  <si>
    <t>* Прибуток 4% на обігові кошти та податок на прибуток</t>
  </si>
  <si>
    <t>Додаток  2</t>
  </si>
  <si>
    <t>1.4.2</t>
  </si>
  <si>
    <t xml:space="preserve">Структура </t>
  </si>
  <si>
    <t>тарифів на теплову енергію на опалювальний період 2024-2025 років</t>
  </si>
  <si>
    <t>по КП " БГВУЖКГ"</t>
  </si>
  <si>
    <t>(без ПДВ)</t>
  </si>
  <si>
    <t>Сумарні та середньо-</t>
  </si>
  <si>
    <t>Для потреб</t>
  </si>
  <si>
    <t>Найменування  показників</t>
  </si>
  <si>
    <t>зважені показники</t>
  </si>
  <si>
    <t>тис.грн на</t>
  </si>
  <si>
    <t>рік</t>
  </si>
  <si>
    <t>1.</t>
  </si>
  <si>
    <t>Виробнича собівартість,у т.ч.:</t>
  </si>
  <si>
    <t>прямі матеріальні витрати, у т.ч.:</t>
  </si>
  <si>
    <t xml:space="preserve">1.1.1 </t>
  </si>
  <si>
    <t>витрати на паливо</t>
  </si>
  <si>
    <t>1.1.2</t>
  </si>
  <si>
    <t>витрати на електроенергію</t>
  </si>
  <si>
    <t>1.1.3</t>
  </si>
  <si>
    <t>вода для технологічних потреб</t>
  </si>
  <si>
    <t>та водовідведення</t>
  </si>
  <si>
    <t>1.1.4</t>
  </si>
  <si>
    <t>матеріали,запасні частини та інші</t>
  </si>
  <si>
    <t>матеріальні ресурси</t>
  </si>
  <si>
    <t>1.2</t>
  </si>
  <si>
    <t>1.3</t>
  </si>
  <si>
    <t>інші прямі витрати, у т.ч.</t>
  </si>
  <si>
    <t>1.3.1</t>
  </si>
  <si>
    <t>1.3.2</t>
  </si>
  <si>
    <t>1.3.3</t>
  </si>
  <si>
    <t>Загальновиробничі витрати, у т.ч.</t>
  </si>
  <si>
    <t>1.4.1</t>
  </si>
  <si>
    <t>витрати на соціальні заходи</t>
  </si>
  <si>
    <t>1.4.3</t>
  </si>
  <si>
    <t>2</t>
  </si>
  <si>
    <t>Адміністративні витрати, у т.ч.</t>
  </si>
  <si>
    <t>2.1</t>
  </si>
  <si>
    <t>2.2</t>
  </si>
  <si>
    <t>2.3</t>
  </si>
  <si>
    <t>3</t>
  </si>
  <si>
    <t>Витрати на збут, у т.ч.</t>
  </si>
  <si>
    <t>3.1</t>
  </si>
  <si>
    <t>3.2</t>
  </si>
  <si>
    <t>3.3</t>
  </si>
  <si>
    <t>4</t>
  </si>
  <si>
    <t>Інші операційні витрати</t>
  </si>
  <si>
    <t>5</t>
  </si>
  <si>
    <t>6</t>
  </si>
  <si>
    <t>Повна собівартість</t>
  </si>
  <si>
    <t>7</t>
  </si>
  <si>
    <t>Витрати на покриття втрат</t>
  </si>
  <si>
    <t>8</t>
  </si>
  <si>
    <t>Розрахунковий прибуток, у т.ч.</t>
  </si>
  <si>
    <t>8.1</t>
  </si>
  <si>
    <t>8.2</t>
  </si>
  <si>
    <t>резервний фонд(капітал) та дивіденди</t>
  </si>
  <si>
    <t>на розвиток виробництва(виробничі</t>
  </si>
  <si>
    <t>інвестиції)</t>
  </si>
  <si>
    <t>9</t>
  </si>
  <si>
    <t>Вартість теплової енергії за відповідними</t>
  </si>
  <si>
    <t>тарифами</t>
  </si>
  <si>
    <t>10</t>
  </si>
  <si>
    <t>Тарифи на теплову енергію, грн/Гкал</t>
  </si>
  <si>
    <t>11</t>
  </si>
  <si>
    <t>Паливна складова у %%</t>
  </si>
  <si>
    <t>12</t>
  </si>
  <si>
    <t>Решта витрат,крім паливної складової %%</t>
  </si>
  <si>
    <t>13</t>
  </si>
  <si>
    <t>Обсяг реалізації теплової енергії, Гкал</t>
  </si>
  <si>
    <t>14</t>
  </si>
  <si>
    <t>Рівень рентабельності,%</t>
  </si>
  <si>
    <t>Додаток  3</t>
  </si>
  <si>
    <t>Тарифи на теплову енергію/комунальну послугу з постачання теплової енергії без урахування витрат на утримання та ремонт центральних теплових пунктів, без урахування витрат на утримання індивідуальних теплових пунктів, крім будинків, обладнаних системою автономного опалення, розраховані на економічно обгрунтованому рівні КП "БГВУЖКГ" та надаються для встановлення на опалювальний період  2024-2025 роки (місце знаходження котелень м.Боярка,с.Тарасівка,Забір"я  Боярська міська МТГ )</t>
  </si>
  <si>
    <t>від "15"жовтня 2024 № 2/5</t>
  </si>
  <si>
    <t>Додаток 1 до рішення виконавчого комітету                                    Боярської міської ради від  15  жовтня 2024 №2/5</t>
  </si>
  <si>
    <t>від "15" жовтня 2024 № 2/5</t>
  </si>
</sst>
</file>

<file path=xl/styles.xml><?xml version="1.0" encoding="utf-8"?>
<styleSheet xmlns="http://schemas.openxmlformats.org/spreadsheetml/2006/main">
  <numFmts count="2">
    <numFmt numFmtId="164" formatCode="#,##0.00_р_."/>
    <numFmt numFmtId="165" formatCode="0.000"/>
  </numFmts>
  <fonts count="20">
    <font>
      <sz val="11"/>
      <color theme="1"/>
      <name val="Calibri"/>
      <family val="2"/>
      <scheme val="minor"/>
    </font>
    <font>
      <sz val="11"/>
      <color theme="1"/>
      <name val="Calibri"/>
      <family val="2"/>
      <scheme val="minor"/>
    </font>
    <font>
      <sz val="11"/>
      <color theme="1"/>
      <name val="Times New Roman"/>
      <family val="1"/>
      <charset val="204"/>
    </font>
    <font>
      <sz val="11"/>
      <color theme="1"/>
      <name val="Calibri"/>
      <family val="2"/>
      <charset val="204"/>
      <scheme val="minor"/>
    </font>
    <font>
      <sz val="14"/>
      <color theme="1"/>
      <name val="Times New Roman"/>
      <family val="1"/>
      <charset val="204"/>
    </font>
    <font>
      <sz val="12"/>
      <color theme="1"/>
      <name val="Times New Roman"/>
      <family val="1"/>
      <charset val="204"/>
    </font>
    <font>
      <b/>
      <sz val="14"/>
      <color theme="1"/>
      <name val="Times New Roman"/>
      <family val="1"/>
      <charset val="204"/>
    </font>
    <font>
      <b/>
      <sz val="11"/>
      <color theme="1"/>
      <name val="Calibri"/>
      <family val="2"/>
      <scheme val="minor"/>
    </font>
    <font>
      <b/>
      <sz val="12"/>
      <color theme="1"/>
      <name val="Times New Roman"/>
      <family val="1"/>
      <charset val="204"/>
    </font>
    <font>
      <sz val="12"/>
      <color theme="1"/>
      <name val="Calibri"/>
      <family val="2"/>
      <scheme val="minor"/>
    </font>
    <font>
      <sz val="10"/>
      <color theme="1"/>
      <name val="Calibri"/>
      <family val="2"/>
      <scheme val="minor"/>
    </font>
    <font>
      <b/>
      <sz val="12"/>
      <name val="Times New Roman"/>
      <family val="1"/>
      <charset val="204"/>
    </font>
    <font>
      <sz val="11"/>
      <name val="Calibri"/>
      <family val="2"/>
      <scheme val="minor"/>
    </font>
    <font>
      <b/>
      <sz val="11"/>
      <color theme="1"/>
      <name val="Calibri"/>
      <family val="2"/>
      <charset val="204"/>
      <scheme val="minor"/>
    </font>
    <font>
      <b/>
      <sz val="12"/>
      <color theme="1"/>
      <name val="Calibri"/>
      <family val="2"/>
      <charset val="204"/>
    </font>
    <font>
      <b/>
      <sz val="12"/>
      <color theme="1"/>
      <name val="Calibri"/>
      <family val="2"/>
      <scheme val="minor"/>
    </font>
    <font>
      <b/>
      <sz val="11"/>
      <color theme="1"/>
      <name val="Times New Roman"/>
      <family val="1"/>
      <charset val="204"/>
    </font>
    <font>
      <sz val="10"/>
      <color theme="1"/>
      <name val="Times New Roman"/>
      <family val="1"/>
      <charset val="204"/>
    </font>
    <font>
      <b/>
      <sz val="10"/>
      <color theme="1"/>
      <name val="Times New Roman"/>
      <family val="1"/>
      <charset val="204"/>
    </font>
    <font>
      <b/>
      <sz val="12"/>
      <color theme="1"/>
      <name val="Calibri"/>
      <family val="2"/>
      <charset val="204"/>
      <scheme val="minor"/>
    </font>
  </fonts>
  <fills count="2">
    <fill>
      <patternFill patternType="none"/>
    </fill>
    <fill>
      <patternFill patternType="gray125"/>
    </fill>
  </fills>
  <borders count="34">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rgb="FF000000"/>
      </left>
      <right style="medium">
        <color rgb="FF000000"/>
      </right>
      <top style="thin">
        <color rgb="FF000000"/>
      </top>
      <bottom/>
      <diagonal/>
    </border>
    <border>
      <left style="medium">
        <color rgb="FF000000"/>
      </left>
      <right style="medium">
        <color rgb="FF000000"/>
      </right>
      <top style="thin">
        <color rgb="FF000000"/>
      </top>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indexed="64"/>
      </left>
      <right style="thin">
        <color indexed="64"/>
      </right>
      <top style="thin">
        <color indexed="64"/>
      </top>
      <bottom/>
      <diagonal/>
    </border>
    <border>
      <left/>
      <right style="thin">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bottom style="medium">
        <color rgb="FF000000"/>
      </bottom>
      <diagonal/>
    </border>
    <border>
      <left style="thin">
        <color rgb="FF000000"/>
      </left>
      <right style="medium">
        <color rgb="FF000000"/>
      </right>
      <top/>
      <bottom/>
      <diagonal/>
    </border>
    <border>
      <left/>
      <right style="medium">
        <color rgb="FF000000"/>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style="thin">
        <color rgb="FF000000"/>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3" fillId="0" borderId="0"/>
    <xf numFmtId="0" fontId="3" fillId="0" borderId="0"/>
    <xf numFmtId="0" fontId="1" fillId="0" borderId="0"/>
  </cellStyleXfs>
  <cellXfs count="137">
    <xf numFmtId="0" fontId="0" fillId="0" borderId="0" xfId="0"/>
    <xf numFmtId="0" fontId="2" fillId="0" borderId="0" xfId="0" applyFont="1"/>
    <xf numFmtId="0" fontId="3" fillId="0" borderId="0" xfId="1" applyFont="1" applyProtection="1">
      <protection locked="0"/>
    </xf>
    <xf numFmtId="0" fontId="3" fillId="0" borderId="0" xfId="2" applyFont="1" applyAlignment="1">
      <alignment horizontal="center" vertical="center" wrapText="1"/>
    </xf>
    <xf numFmtId="0" fontId="3" fillId="0" borderId="0" xfId="2" applyFont="1"/>
    <xf numFmtId="0" fontId="4" fillId="0" borderId="0" xfId="0" applyFont="1" applyAlignment="1">
      <alignment horizontal="left" vertical="center" indent="15"/>
    </xf>
    <xf numFmtId="0" fontId="0" fillId="0" borderId="0" xfId="0" applyAlignment="1">
      <alignment wrapText="1"/>
    </xf>
    <xf numFmtId="0" fontId="5" fillId="0" borderId="0" xfId="0" applyFont="1" applyAlignment="1">
      <alignment horizontal="left" vertical="center" wrapText="1"/>
    </xf>
    <xf numFmtId="0" fontId="4" fillId="0" borderId="0" xfId="0" applyFont="1" applyAlignment="1">
      <alignment vertical="center"/>
    </xf>
    <xf numFmtId="0" fontId="5" fillId="0" borderId="0" xfId="0" applyFont="1" applyAlignment="1">
      <alignment vertical="center"/>
    </xf>
    <xf numFmtId="0" fontId="9" fillId="0" borderId="0" xfId="0" applyFont="1"/>
    <xf numFmtId="0" fontId="0" fillId="0" borderId="0" xfId="0" applyFont="1"/>
    <xf numFmtId="0" fontId="2" fillId="0" borderId="5" xfId="0" applyFont="1" applyBorder="1" applyAlignment="1">
      <alignment horizontal="left" vertical="center" wrapText="1" indent="1"/>
    </xf>
    <xf numFmtId="0" fontId="2" fillId="0" borderId="5" xfId="0" applyFont="1" applyBorder="1" applyAlignment="1">
      <alignment horizontal="center" vertical="center" wrapText="1"/>
    </xf>
    <xf numFmtId="0" fontId="2" fillId="0" borderId="5" xfId="0" applyFont="1" applyBorder="1" applyAlignment="1">
      <alignment vertical="center" wrapText="1"/>
    </xf>
    <xf numFmtId="0" fontId="5" fillId="0" borderId="4" xfId="0" applyFont="1" applyBorder="1" applyAlignment="1">
      <alignment vertical="center" wrapText="1"/>
    </xf>
    <xf numFmtId="164" fontId="5" fillId="0" borderId="5" xfId="0" applyNumberFormat="1" applyFont="1" applyBorder="1" applyAlignment="1">
      <alignment horizontal="center" vertical="center" wrapText="1"/>
    </xf>
    <xf numFmtId="0" fontId="10" fillId="0" borderId="0" xfId="0" applyFont="1"/>
    <xf numFmtId="164" fontId="8" fillId="0" borderId="5" xfId="0" applyNumberFormat="1" applyFont="1" applyBorder="1" applyAlignment="1">
      <alignment horizontal="center" vertical="center" wrapText="1"/>
    </xf>
    <xf numFmtId="0" fontId="8" fillId="0" borderId="0" xfId="0" applyFont="1" applyAlignment="1">
      <alignment vertical="center"/>
    </xf>
    <xf numFmtId="0" fontId="14" fillId="0" borderId="0" xfId="0" applyFont="1" applyAlignment="1">
      <alignment vertical="center"/>
    </xf>
    <xf numFmtId="0" fontId="13" fillId="0" borderId="0" xfId="0" applyFont="1"/>
    <xf numFmtId="0" fontId="15" fillId="0" borderId="0" xfId="0" applyFont="1"/>
    <xf numFmtId="0" fontId="7" fillId="0" borderId="0" xfId="0" applyFont="1"/>
    <xf numFmtId="0" fontId="5" fillId="0" borderId="0" xfId="0" applyFont="1" applyBorder="1" applyAlignment="1">
      <alignment vertical="top" wrapText="1"/>
    </xf>
    <xf numFmtId="0" fontId="0" fillId="0" borderId="11" xfId="0" applyBorder="1"/>
    <xf numFmtId="0" fontId="8" fillId="0" borderId="14" xfId="0" applyFont="1" applyBorder="1" applyAlignment="1">
      <alignment horizontal="center" vertical="top" wrapText="1"/>
    </xf>
    <xf numFmtId="0" fontId="8" fillId="0" borderId="14" xfId="0" applyFont="1" applyBorder="1" applyAlignment="1">
      <alignment vertical="top" wrapText="1"/>
    </xf>
    <xf numFmtId="0" fontId="0" fillId="0" borderId="15" xfId="0" applyBorder="1"/>
    <xf numFmtId="0" fontId="13" fillId="0" borderId="15" xfId="0" applyFont="1" applyBorder="1" applyAlignment="1">
      <alignment horizontal="center"/>
    </xf>
    <xf numFmtId="2" fontId="18" fillId="0" borderId="14" xfId="0" applyNumberFormat="1" applyFont="1" applyBorder="1" applyAlignment="1">
      <alignment horizontal="center" vertical="top" wrapText="1"/>
    </xf>
    <xf numFmtId="0" fontId="13" fillId="0" borderId="11" xfId="0" applyFont="1" applyBorder="1" applyAlignment="1">
      <alignment horizontal="center"/>
    </xf>
    <xf numFmtId="0" fontId="5" fillId="0" borderId="14" xfId="0" applyFont="1" applyBorder="1" applyAlignment="1">
      <alignment vertical="top" wrapText="1"/>
    </xf>
    <xf numFmtId="2" fontId="17" fillId="0" borderId="14" xfId="0" applyNumberFormat="1" applyFont="1" applyBorder="1" applyAlignment="1">
      <alignment horizontal="center" vertical="top" wrapText="1"/>
    </xf>
    <xf numFmtId="0" fontId="18" fillId="0" borderId="14" xfId="0" applyFont="1" applyBorder="1" applyAlignment="1">
      <alignment horizontal="center" vertical="top" wrapText="1"/>
    </xf>
    <xf numFmtId="0" fontId="17" fillId="0" borderId="14" xfId="0" applyFont="1" applyBorder="1" applyAlignment="1">
      <alignment horizontal="center" vertical="top" wrapText="1"/>
    </xf>
    <xf numFmtId="0" fontId="5" fillId="0" borderId="0" xfId="0" applyFont="1" applyBorder="1" applyAlignment="1">
      <alignment horizontal="right" vertical="top" wrapText="1"/>
    </xf>
    <xf numFmtId="0" fontId="5" fillId="0" borderId="0" xfId="0" applyFont="1" applyBorder="1" applyAlignment="1">
      <alignment wrapText="1"/>
    </xf>
    <xf numFmtId="0" fontId="17" fillId="0" borderId="0" xfId="0" applyFont="1" applyBorder="1" applyAlignment="1">
      <alignment vertical="top" wrapText="1"/>
    </xf>
    <xf numFmtId="10" fontId="13" fillId="0" borderId="0" xfId="0" applyNumberFormat="1" applyFont="1"/>
    <xf numFmtId="10" fontId="13" fillId="0" borderId="0" xfId="0" applyNumberFormat="1" applyFont="1" applyAlignment="1">
      <alignment horizontal="center"/>
    </xf>
    <xf numFmtId="0" fontId="8" fillId="0" borderId="19" xfId="0" applyFont="1" applyBorder="1" applyAlignment="1">
      <alignment horizontal="center" vertical="top" wrapText="1"/>
    </xf>
    <xf numFmtId="0" fontId="8" fillId="0" borderId="12" xfId="0" applyFont="1" applyBorder="1" applyAlignment="1">
      <alignment horizontal="center" vertical="top" wrapText="1"/>
    </xf>
    <xf numFmtId="49" fontId="8" fillId="0" borderId="12" xfId="0" applyNumberFormat="1" applyFont="1" applyBorder="1" applyAlignment="1">
      <alignment horizontal="center" vertical="top" wrapText="1"/>
    </xf>
    <xf numFmtId="2" fontId="18" fillId="0" borderId="19" xfId="0" applyNumberFormat="1" applyFont="1" applyBorder="1" applyAlignment="1">
      <alignment horizontal="center" vertical="top" wrapText="1"/>
    </xf>
    <xf numFmtId="49" fontId="5" fillId="0" borderId="12" xfId="0" applyNumberFormat="1" applyFont="1" applyBorder="1" applyAlignment="1">
      <alignment horizontal="center" vertical="top" wrapText="1"/>
    </xf>
    <xf numFmtId="2" fontId="17" fillId="0" borderId="19" xfId="0" applyNumberFormat="1" applyFont="1" applyBorder="1" applyAlignment="1">
      <alignment horizontal="center" vertical="top" wrapText="1"/>
    </xf>
    <xf numFmtId="0" fontId="17" fillId="0" borderId="19" xfId="0" applyFont="1" applyBorder="1" applyAlignment="1">
      <alignment horizontal="center" vertical="top" wrapText="1"/>
    </xf>
    <xf numFmtId="0" fontId="17" fillId="0" borderId="14" xfId="0" applyFont="1" applyBorder="1" applyAlignment="1">
      <alignment vertical="top" wrapText="1"/>
    </xf>
    <xf numFmtId="49" fontId="5" fillId="0" borderId="20" xfId="0" applyNumberFormat="1" applyFont="1" applyBorder="1" applyAlignment="1">
      <alignment horizontal="center" vertical="top" wrapText="1"/>
    </xf>
    <xf numFmtId="0" fontId="5" fillId="0" borderId="21" xfId="0" applyFont="1" applyBorder="1" applyAlignment="1">
      <alignment vertical="top" wrapText="1"/>
    </xf>
    <xf numFmtId="0" fontId="17" fillId="0" borderId="21" xfId="0" applyFont="1" applyBorder="1" applyAlignment="1">
      <alignment horizontal="center" vertical="top" wrapText="1"/>
    </xf>
    <xf numFmtId="0" fontId="17" fillId="0" borderId="24" xfId="0" applyFont="1" applyBorder="1" applyAlignment="1">
      <alignment horizontal="center" vertical="top" wrapText="1"/>
    </xf>
    <xf numFmtId="49" fontId="5" fillId="0" borderId="11" xfId="0" applyNumberFormat="1" applyFont="1" applyBorder="1" applyAlignment="1">
      <alignment horizontal="center" vertical="top" wrapText="1"/>
    </xf>
    <xf numFmtId="0" fontId="5" fillId="0" borderId="11" xfId="0" applyFont="1" applyBorder="1" applyAlignment="1">
      <alignment vertical="top" wrapText="1"/>
    </xf>
    <xf numFmtId="2" fontId="17" fillId="0" borderId="11" xfId="0" applyNumberFormat="1" applyFont="1" applyBorder="1" applyAlignment="1">
      <alignment horizontal="center" vertical="top" wrapText="1"/>
    </xf>
    <xf numFmtId="0" fontId="0" fillId="0" borderId="0" xfId="0" applyAlignment="1">
      <alignment horizontal="center"/>
    </xf>
    <xf numFmtId="0" fontId="19" fillId="0" borderId="0" xfId="0" applyFont="1"/>
    <xf numFmtId="10" fontId="0" fillId="0" borderId="0" xfId="0" applyNumberFormat="1"/>
    <xf numFmtId="0" fontId="0" fillId="0" borderId="25" xfId="0" applyBorder="1"/>
    <xf numFmtId="0" fontId="0" fillId="0" borderId="28" xfId="0" applyBorder="1"/>
    <xf numFmtId="0" fontId="0" fillId="0" borderId="32" xfId="0" applyBorder="1"/>
    <xf numFmtId="0" fontId="0" fillId="0" borderId="27" xfId="0" applyBorder="1" applyAlignment="1">
      <alignment horizontal="center"/>
    </xf>
    <xf numFmtId="0" fontId="0" fillId="0" borderId="15" xfId="0" applyBorder="1" applyAlignment="1">
      <alignment horizontal="center"/>
    </xf>
    <xf numFmtId="0" fontId="0" fillId="0" borderId="29" xfId="0" applyBorder="1"/>
    <xf numFmtId="0" fontId="0" fillId="0" borderId="33" xfId="0" applyBorder="1"/>
    <xf numFmtId="0" fontId="0" fillId="0" borderId="31" xfId="0" applyBorder="1" applyAlignment="1">
      <alignment horizontal="center"/>
    </xf>
    <xf numFmtId="0" fontId="0" fillId="0" borderId="33" xfId="0" applyBorder="1" applyAlignment="1">
      <alignment horizontal="center"/>
    </xf>
    <xf numFmtId="0" fontId="0" fillId="0" borderId="11" xfId="0" applyBorder="1" applyAlignment="1">
      <alignment horizontal="center"/>
    </xf>
    <xf numFmtId="0" fontId="13" fillId="0" borderId="11" xfId="0" applyFont="1" applyBorder="1"/>
    <xf numFmtId="2" fontId="13" fillId="0" borderId="11" xfId="0" applyNumberFormat="1" applyFont="1" applyBorder="1" applyAlignment="1">
      <alignment horizontal="center"/>
    </xf>
    <xf numFmtId="49" fontId="0" fillId="0" borderId="11" xfId="0" applyNumberFormat="1" applyBorder="1" applyAlignment="1">
      <alignment horizontal="center"/>
    </xf>
    <xf numFmtId="2" fontId="0" fillId="0" borderId="11" xfId="0" applyNumberFormat="1" applyBorder="1" applyAlignment="1">
      <alignment horizontal="center"/>
    </xf>
    <xf numFmtId="2" fontId="0" fillId="0" borderId="11" xfId="0" applyNumberFormat="1" applyFont="1" applyBorder="1" applyAlignment="1">
      <alignment horizontal="center"/>
    </xf>
    <xf numFmtId="49" fontId="0" fillId="0" borderId="15" xfId="0" applyNumberFormat="1" applyBorder="1" applyAlignment="1">
      <alignment horizontal="center"/>
    </xf>
    <xf numFmtId="2" fontId="0" fillId="0" borderId="15" xfId="0" applyNumberFormat="1" applyFont="1" applyBorder="1" applyAlignment="1">
      <alignment horizontal="center"/>
    </xf>
    <xf numFmtId="2" fontId="13" fillId="0" borderId="15" xfId="0" applyNumberFormat="1" applyFont="1" applyBorder="1" applyAlignment="1">
      <alignment horizontal="center"/>
    </xf>
    <xf numFmtId="49" fontId="0" fillId="0" borderId="33" xfId="0" applyNumberFormat="1" applyBorder="1" applyAlignment="1">
      <alignment horizontal="center"/>
    </xf>
    <xf numFmtId="2" fontId="0" fillId="0" borderId="33" xfId="0" applyNumberFormat="1" applyFont="1" applyBorder="1" applyAlignment="1">
      <alignment horizontal="center"/>
    </xf>
    <xf numFmtId="49" fontId="13" fillId="0" borderId="11" xfId="0" applyNumberFormat="1" applyFont="1" applyBorder="1" applyAlignment="1">
      <alignment horizontal="center"/>
    </xf>
    <xf numFmtId="165" fontId="0" fillId="0" borderId="11" xfId="0" applyNumberFormat="1" applyBorder="1" applyAlignment="1">
      <alignment horizontal="center"/>
    </xf>
    <xf numFmtId="0" fontId="0" fillId="0" borderId="11" xfId="0" applyFont="1" applyBorder="1"/>
    <xf numFmtId="0" fontId="0" fillId="0" borderId="15" xfId="0" applyFont="1" applyBorder="1"/>
    <xf numFmtId="0" fontId="0" fillId="0" borderId="33" xfId="0" applyFont="1" applyBorder="1"/>
    <xf numFmtId="0" fontId="13" fillId="0" borderId="15" xfId="0" applyFont="1" applyBorder="1"/>
    <xf numFmtId="0" fontId="13" fillId="0" borderId="33" xfId="0" applyFont="1" applyBorder="1"/>
    <xf numFmtId="2" fontId="13" fillId="0" borderId="33" xfId="0" applyNumberFormat="1" applyFont="1" applyBorder="1" applyAlignment="1">
      <alignment horizontal="center"/>
    </xf>
    <xf numFmtId="49" fontId="0" fillId="0" borderId="0" xfId="0" applyNumberFormat="1"/>
    <xf numFmtId="49" fontId="13" fillId="0" borderId="0" xfId="0" applyNumberFormat="1" applyFont="1"/>
    <xf numFmtId="1" fontId="13" fillId="0" borderId="11" xfId="0" applyNumberFormat="1" applyFont="1" applyBorder="1" applyAlignment="1">
      <alignment horizontal="center"/>
    </xf>
    <xf numFmtId="0" fontId="16" fillId="0" borderId="0" xfId="0" applyFont="1" applyAlignment="1">
      <alignment horizontal="left" vertical="center" wrapText="1"/>
    </xf>
    <xf numFmtId="0" fontId="7" fillId="0" borderId="0" xfId="0" applyFont="1" applyAlignment="1"/>
    <xf numFmtId="0" fontId="5" fillId="0" borderId="6" xfId="0" applyFont="1" applyBorder="1" applyAlignment="1">
      <alignment vertical="center"/>
    </xf>
    <xf numFmtId="0" fontId="9" fillId="0" borderId="6" xfId="0" applyFont="1" applyBorder="1" applyAlignment="1"/>
    <xf numFmtId="0" fontId="6" fillId="0" borderId="0" xfId="0" applyFont="1" applyAlignment="1">
      <alignment horizontal="center" vertical="center"/>
    </xf>
    <xf numFmtId="0" fontId="7" fillId="0" borderId="0" xfId="0" applyFont="1" applyAlignment="1">
      <alignment horizontal="center"/>
    </xf>
    <xf numFmtId="0" fontId="11" fillId="0" borderId="0" xfId="0" applyFont="1" applyAlignment="1">
      <alignment horizontal="center" vertical="center" wrapText="1"/>
    </xf>
    <xf numFmtId="0" fontId="12" fillId="0" borderId="0" xfId="0" applyFont="1" applyAlignment="1">
      <alignment horizont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0" xfId="0" applyFont="1" applyBorder="1" applyAlignment="1">
      <alignment horizontal="center" vertical="top" wrapText="1"/>
    </xf>
    <xf numFmtId="0" fontId="13" fillId="0" borderId="0" xfId="0" applyFont="1" applyAlignment="1">
      <alignment horizontal="center"/>
    </xf>
    <xf numFmtId="0" fontId="17" fillId="0" borderId="22" xfId="0" applyFont="1" applyBorder="1" applyAlignment="1">
      <alignment horizontal="center" vertical="top" wrapText="1"/>
    </xf>
    <xf numFmtId="0" fontId="17" fillId="0" borderId="23" xfId="0" applyFont="1" applyBorder="1" applyAlignment="1">
      <alignment horizontal="center" vertical="top" wrapText="1"/>
    </xf>
    <xf numFmtId="2" fontId="17" fillId="0" borderId="11" xfId="0" applyNumberFormat="1" applyFont="1" applyBorder="1" applyAlignment="1">
      <alignment horizontal="center" vertical="top" wrapText="1"/>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17" fillId="0" borderId="17" xfId="0" applyFont="1" applyBorder="1" applyAlignment="1">
      <alignment horizontal="center" vertical="top" wrapText="1"/>
    </xf>
    <xf numFmtId="0" fontId="17" fillId="0" borderId="18" xfId="0" applyFont="1" applyBorder="1" applyAlignment="1">
      <alignment horizontal="center" vertical="top" wrapText="1"/>
    </xf>
    <xf numFmtId="2" fontId="17" fillId="0" borderId="17" xfId="0" applyNumberFormat="1" applyFont="1" applyBorder="1" applyAlignment="1">
      <alignment horizontal="center" vertical="top" wrapText="1"/>
    </xf>
    <xf numFmtId="2" fontId="17" fillId="0" borderId="18" xfId="0" applyNumberFormat="1" applyFont="1" applyBorder="1" applyAlignment="1">
      <alignment horizontal="center" vertical="top" wrapText="1"/>
    </xf>
    <xf numFmtId="2" fontId="18" fillId="0" borderId="17" xfId="0" applyNumberFormat="1" applyFont="1" applyBorder="1" applyAlignment="1">
      <alignment horizontal="center" vertical="top" wrapText="1"/>
    </xf>
    <xf numFmtId="2" fontId="18" fillId="0" borderId="18" xfId="0" applyNumberFormat="1" applyFont="1" applyBorder="1" applyAlignment="1">
      <alignment horizontal="center" vertical="top" wrapText="1"/>
    </xf>
    <xf numFmtId="0" fontId="8" fillId="0" borderId="17" xfId="0" applyFont="1" applyBorder="1" applyAlignment="1">
      <alignment horizontal="center" vertical="top" wrapText="1"/>
    </xf>
    <xf numFmtId="0" fontId="8" fillId="0" borderId="18" xfId="0" applyFont="1" applyBorder="1" applyAlignment="1">
      <alignment horizontal="center" vertical="top" wrapText="1"/>
    </xf>
    <xf numFmtId="0" fontId="18" fillId="0" borderId="18" xfId="0" applyFont="1" applyBorder="1" applyAlignment="1">
      <alignment horizontal="center" vertical="top" wrapText="1"/>
    </xf>
    <xf numFmtId="0" fontId="8" fillId="0" borderId="7" xfId="0" applyFont="1" applyBorder="1" applyAlignment="1">
      <alignment vertical="top" wrapText="1"/>
    </xf>
    <xf numFmtId="0" fontId="8" fillId="0" borderId="12" xfId="0" applyFont="1" applyBorder="1" applyAlignment="1">
      <alignment vertical="top" wrapText="1"/>
    </xf>
    <xf numFmtId="0" fontId="8" fillId="0" borderId="8" xfId="0" applyFont="1" applyBorder="1" applyAlignment="1">
      <alignment vertical="top" wrapText="1"/>
    </xf>
    <xf numFmtId="0" fontId="8" fillId="0" borderId="13" xfId="0" applyFont="1" applyBorder="1" applyAlignment="1">
      <alignment vertical="top" wrapText="1"/>
    </xf>
    <xf numFmtId="0" fontId="8" fillId="0" borderId="0" xfId="0" applyFont="1" applyAlignment="1">
      <alignment horizontal="center"/>
    </xf>
    <xf numFmtId="0" fontId="8" fillId="0" borderId="8" xfId="0" applyFont="1" applyBorder="1" applyAlignment="1">
      <alignment horizontal="center" vertical="top" wrapText="1"/>
    </xf>
    <xf numFmtId="0" fontId="8" fillId="0" borderId="13" xfId="0" applyFont="1" applyBorder="1" applyAlignment="1">
      <alignment horizontal="center" vertical="top"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6" xfId="0" applyFont="1" applyBorder="1" applyAlignment="1">
      <alignment horizontal="center" vertical="center" wrapText="1"/>
    </xf>
    <xf numFmtId="0" fontId="5" fillId="0" borderId="0" xfId="0" applyFont="1" applyBorder="1" applyAlignment="1">
      <alignment horizontal="left" vertical="top" wrapText="1"/>
    </xf>
    <xf numFmtId="0" fontId="0" fillId="0" borderId="29" xfId="0" applyBorder="1" applyAlignment="1">
      <alignment horizontal="center"/>
    </xf>
    <xf numFmtId="0" fontId="0" fillId="0" borderId="31" xfId="0" applyBorder="1" applyAlignment="1">
      <alignment horizontal="center"/>
    </xf>
    <xf numFmtId="0" fontId="0" fillId="0" borderId="0" xfId="0"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25" xfId="0" applyBorder="1" applyAlignment="1">
      <alignment horizontal="center"/>
    </xf>
    <xf numFmtId="0" fontId="0" fillId="0" borderId="30" xfId="0" applyBorder="1" applyAlignment="1">
      <alignment horizontal="center"/>
    </xf>
  </cellXfs>
  <cellStyles count="4">
    <cellStyle name="Обычный" xfId="0" builtinId="0"/>
    <cellStyle name="Обычный 3" xfId="1"/>
    <cellStyle name="Обычный 4" xfId="2"/>
    <cellStyle name="Обычный 4 2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a/Desktop/&#1040;&#1083;&#1083;&#1072;/&#1072;&#1083;&#1083;&#1072;/&#1058;&#1040;&#1056;&#1048;&#1060;&#1048;/&#1041;&#1086;&#1103;&#1088;&#1089;&#1100;&#1082;&#1077;%20&#1043;&#1042;&#1059;&#1046;&#1050;&#1043;/&#1055;&#1083;&#1072;&#1085;&#1086;&#1074;&#1080;&#1081;%20&#1090;&#1072;&#1088;&#1080;&#1092;%20&#1085;&#1072;%20&#1090;&#1077;&#1087;&#1083;&#1086;%202024-2025_&#1110;&#1079;%20&#1079;&#1084;&#1110;&#1085;&#1072;&#1084;&#108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лист"/>
      <sheetName val="Лист1"/>
      <sheetName val="2"/>
      <sheetName val="розрах вартості палива"/>
      <sheetName val="розр.екон. ефе по інвест прогр."/>
      <sheetName val="Середня ціна електроенергії"/>
      <sheetName val="розрах витрат електроенергії"/>
      <sheetName val="інформ.про суб.ВВ"/>
      <sheetName val="електроенергія на ремонт"/>
      <sheetName val="розр.абон.плати"/>
      <sheetName val=" вода і стоки"/>
      <sheetName val="Розрах. зп на вир.тран.і пост "/>
      <sheetName val="накладні витрат. "/>
      <sheetName val="транспортування"/>
      <sheetName val="постачання"/>
      <sheetName val="теплова енергія з прибутком"/>
      <sheetName val="Аркуш1"/>
      <sheetName val="про намір  нові тарифи"/>
      <sheetName val="обгрунтування зміни тарифів"/>
      <sheetName val="вода, стоки на вир.транспортув."/>
      <sheetName val="середня ціна палива за опал.пер"/>
      <sheetName val="розр."/>
      <sheetName val="виробництво"/>
      <sheetName val=" різниця в тарифах"/>
      <sheetName val="Розрахунок інших операц витрат"/>
      <sheetName val="пояснювальна запика"/>
      <sheetName val="розрах.амортизації"/>
      <sheetName val="повідомл.про намір"/>
      <sheetName val="структура тарифу на тепл.енергі"/>
      <sheetName val="Роз&quot;яснення по абон.платі"/>
      <sheetName val="перелік поданих докумен"/>
      <sheetName val="Розр.витрат солі на Космосі"/>
      <sheetName val="інформація про суб&quot;єкта господ"/>
      <sheetName val="Аркуш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9">
          <cell r="H39">
            <v>6</v>
          </cell>
        </row>
        <row r="61">
          <cell r="G61">
            <v>0</v>
          </cell>
        </row>
        <row r="62">
          <cell r="G62">
            <v>0</v>
          </cell>
        </row>
        <row r="68">
          <cell r="H68">
            <v>0</v>
          </cell>
        </row>
      </sheetData>
      <sheetData sheetId="14">
        <row r="21">
          <cell r="I21">
            <v>6</v>
          </cell>
        </row>
      </sheetData>
      <sheetData sheetId="15">
        <row r="36">
          <cell r="F36" t="str">
            <v>тис. грн</v>
          </cell>
        </row>
      </sheetData>
      <sheetData sheetId="16"/>
      <sheetData sheetId="17"/>
      <sheetData sheetId="18"/>
      <sheetData sheetId="19"/>
      <sheetData sheetId="20"/>
      <sheetData sheetId="21"/>
      <sheetData sheetId="22">
        <row r="57">
          <cell r="G57">
            <v>2819.16</v>
          </cell>
        </row>
      </sheetData>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N29"/>
  <sheetViews>
    <sheetView tabSelected="1" workbookViewId="0">
      <selection activeCell="F2" sqref="F2:J2"/>
    </sheetView>
  </sheetViews>
  <sheetFormatPr defaultRowHeight="15"/>
  <cols>
    <col min="1" max="1" width="22.28515625" customWidth="1"/>
    <col min="2" max="2" width="11.42578125" customWidth="1"/>
    <col min="3" max="3" width="11.7109375" customWidth="1"/>
    <col min="4" max="4" width="13.42578125" customWidth="1"/>
    <col min="5" max="5" width="11.28515625" customWidth="1"/>
    <col min="6" max="6" width="13.7109375" customWidth="1"/>
    <col min="7" max="7" width="10.42578125" customWidth="1"/>
    <col min="8" max="8" width="14.42578125" customWidth="1"/>
    <col min="9" max="9" width="14.28515625" customWidth="1"/>
  </cols>
  <sheetData>
    <row r="1" spans="1:14">
      <c r="G1" s="1"/>
      <c r="H1" s="2"/>
      <c r="I1" s="3"/>
      <c r="J1" s="4"/>
    </row>
    <row r="2" spans="1:14" ht="40.5" customHeight="1">
      <c r="A2" s="5"/>
      <c r="F2" s="90" t="s">
        <v>169</v>
      </c>
      <c r="G2" s="91"/>
      <c r="H2" s="91"/>
      <c r="I2" s="91"/>
      <c r="J2" s="91"/>
      <c r="K2" s="6"/>
    </row>
    <row r="3" spans="1:14" ht="8.25" customHeight="1">
      <c r="A3" s="5"/>
      <c r="J3" s="7"/>
      <c r="K3" s="6"/>
      <c r="L3" s="6"/>
      <c r="M3" s="6"/>
      <c r="N3" s="6"/>
    </row>
    <row r="4" spans="1:14" ht="18.75">
      <c r="A4" s="94" t="s">
        <v>10</v>
      </c>
      <c r="B4" s="95"/>
      <c r="C4" s="95"/>
      <c r="D4" s="95"/>
      <c r="E4" s="95"/>
      <c r="F4" s="95"/>
      <c r="G4" s="95"/>
      <c r="H4" s="95"/>
      <c r="I4" s="95"/>
    </row>
    <row r="5" spans="1:14" ht="6.75" customHeight="1">
      <c r="A5" s="8"/>
    </row>
    <row r="6" spans="1:14" ht="84" customHeight="1">
      <c r="A6" s="96" t="s">
        <v>167</v>
      </c>
      <c r="B6" s="97"/>
      <c r="C6" s="97"/>
      <c r="D6" s="97"/>
      <c r="E6" s="97"/>
      <c r="F6" s="97"/>
      <c r="G6" s="97"/>
      <c r="H6" s="97"/>
      <c r="I6" s="97"/>
      <c r="J6" s="6"/>
      <c r="K6" s="6"/>
      <c r="L6" s="6"/>
      <c r="M6" s="6"/>
      <c r="N6" s="6"/>
    </row>
    <row r="7" spans="1:14" s="10" customFormat="1" ht="16.5" customHeight="1" thickBot="1">
      <c r="A7" s="9"/>
    </row>
    <row r="8" spans="1:14" s="11" customFormat="1" ht="79.150000000000006" customHeight="1" thickBot="1">
      <c r="A8" s="98" t="s">
        <v>0</v>
      </c>
      <c r="B8" s="100" t="s">
        <v>1</v>
      </c>
      <c r="C8" s="101"/>
      <c r="D8" s="100" t="s">
        <v>2</v>
      </c>
      <c r="E8" s="101"/>
      <c r="F8" s="100" t="s">
        <v>3</v>
      </c>
      <c r="G8" s="101"/>
      <c r="H8" s="100" t="s">
        <v>12</v>
      </c>
      <c r="I8" s="101"/>
    </row>
    <row r="9" spans="1:14" s="11" customFormat="1" ht="36.75" customHeight="1" thickBot="1">
      <c r="A9" s="99"/>
      <c r="B9" s="12" t="s">
        <v>4</v>
      </c>
      <c r="C9" s="13" t="s">
        <v>5</v>
      </c>
      <c r="D9" s="13" t="s">
        <v>4</v>
      </c>
      <c r="E9" s="14" t="s">
        <v>5</v>
      </c>
      <c r="F9" s="13" t="s">
        <v>4</v>
      </c>
      <c r="G9" s="13" t="s">
        <v>5</v>
      </c>
      <c r="H9" s="13" t="s">
        <v>4</v>
      </c>
      <c r="I9" s="13" t="s">
        <v>5</v>
      </c>
    </row>
    <row r="10" spans="1:14" s="11" customFormat="1" ht="33" customHeight="1" thickBot="1">
      <c r="A10" s="15" t="s">
        <v>6</v>
      </c>
      <c r="B10" s="16">
        <v>2126.7199999999998</v>
      </c>
      <c r="C10" s="16">
        <f>B10*1.2</f>
        <v>2552.0639999999999</v>
      </c>
      <c r="D10" s="16">
        <v>454.5</v>
      </c>
      <c r="E10" s="16">
        <f>D10*1.2</f>
        <v>545.4</v>
      </c>
      <c r="F10" s="16">
        <v>143.57</v>
      </c>
      <c r="G10" s="16">
        <f>F10*1.2</f>
        <v>172.28399999999999</v>
      </c>
      <c r="H10" s="18">
        <f>B10+D10+F10+108.99</f>
        <v>2833.7799999999997</v>
      </c>
      <c r="I10" s="18">
        <f>H10*1.2</f>
        <v>3400.5359999999996</v>
      </c>
    </row>
    <row r="11" spans="1:14" s="11" customFormat="1" ht="18.600000000000001" customHeight="1" thickBot="1">
      <c r="A11" s="15" t="s">
        <v>7</v>
      </c>
      <c r="B11" s="16">
        <v>0</v>
      </c>
      <c r="C11" s="16">
        <v>0</v>
      </c>
      <c r="D11" s="16">
        <v>0</v>
      </c>
      <c r="E11" s="16">
        <v>0</v>
      </c>
      <c r="F11" s="16">
        <v>0</v>
      </c>
      <c r="G11" s="16">
        <v>0</v>
      </c>
      <c r="H11" s="18">
        <v>0</v>
      </c>
      <c r="I11" s="18">
        <v>0</v>
      </c>
    </row>
    <row r="12" spans="1:14" s="11" customFormat="1" ht="19.149999999999999" customHeight="1" thickBot="1">
      <c r="A12" s="15" t="s">
        <v>8</v>
      </c>
      <c r="B12" s="16">
        <v>2371.61</v>
      </c>
      <c r="C12" s="16">
        <f>B12*1.2</f>
        <v>2845.9320000000002</v>
      </c>
      <c r="D12" s="16">
        <v>454.5</v>
      </c>
      <c r="E12" s="16">
        <f>D12*1.2</f>
        <v>545.4</v>
      </c>
      <c r="F12" s="16">
        <v>143.57</v>
      </c>
      <c r="G12" s="16">
        <f>F12*1.2</f>
        <v>172.28399999999999</v>
      </c>
      <c r="H12" s="18">
        <f>B12+D12+F12+118.79</f>
        <v>3088.4700000000003</v>
      </c>
      <c r="I12" s="18">
        <f>H12*1.2</f>
        <v>3706.1640000000002</v>
      </c>
    </row>
    <row r="13" spans="1:14" s="11" customFormat="1" ht="18.600000000000001" customHeight="1" thickBot="1">
      <c r="A13" s="15" t="s">
        <v>9</v>
      </c>
      <c r="B13" s="16">
        <v>3366.65</v>
      </c>
      <c r="C13" s="16">
        <f>B13*1.2</f>
        <v>4039.98</v>
      </c>
      <c r="D13" s="16">
        <v>454.5</v>
      </c>
      <c r="E13" s="16">
        <f>D13*1.2</f>
        <v>545.4</v>
      </c>
      <c r="F13" s="16">
        <v>143.57</v>
      </c>
      <c r="G13" s="16">
        <f>F13*1.2</f>
        <v>172.28399999999999</v>
      </c>
      <c r="H13" s="18">
        <f>B13+D13+F13+158.59</f>
        <v>4123.3100000000004</v>
      </c>
      <c r="I13" s="18">
        <f>H13*1.2</f>
        <v>4947.9720000000007</v>
      </c>
    </row>
    <row r="14" spans="1:14" s="10" customFormat="1" ht="33" customHeight="1">
      <c r="A14" s="92" t="s">
        <v>13</v>
      </c>
      <c r="B14" s="93"/>
      <c r="C14" s="93"/>
      <c r="D14" s="93"/>
      <c r="E14" s="93"/>
      <c r="F14" s="93"/>
      <c r="G14" s="93"/>
      <c r="H14" s="93"/>
      <c r="I14" s="93"/>
    </row>
    <row r="15" spans="1:14" s="10" customFormat="1" ht="37.5" customHeight="1">
      <c r="A15" s="19" t="s">
        <v>11</v>
      </c>
      <c r="B15" s="20"/>
      <c r="C15" s="21"/>
      <c r="D15" s="22"/>
      <c r="E15" s="23"/>
      <c r="F15" s="23"/>
      <c r="G15" s="19" t="s">
        <v>14</v>
      </c>
      <c r="H15" s="23"/>
      <c r="I15" s="11"/>
    </row>
    <row r="16" spans="1:14" s="10" customFormat="1" ht="19.5" customHeight="1">
      <c r="A16" s="11"/>
      <c r="B16" s="17"/>
      <c r="C16" s="17"/>
      <c r="D16" s="11"/>
      <c r="E16" s="11"/>
      <c r="F16" s="11"/>
      <c r="G16" s="11"/>
      <c r="H16" s="11"/>
      <c r="I16" s="11"/>
    </row>
    <row r="17" spans="1:9" s="10" customFormat="1" ht="15.75" customHeight="1">
      <c r="A17" s="11"/>
      <c r="B17" s="11"/>
      <c r="C17" s="11"/>
      <c r="D17" s="11"/>
      <c r="E17" s="11"/>
      <c r="F17" s="11"/>
      <c r="G17" s="11"/>
      <c r="H17" s="11"/>
      <c r="I17" s="11"/>
    </row>
    <row r="18" spans="1:9" s="10" customFormat="1" ht="19.5" customHeight="1">
      <c r="A18" s="11"/>
      <c r="B18" s="11"/>
      <c r="C18" s="11"/>
      <c r="D18" s="11"/>
      <c r="E18" s="11"/>
      <c r="F18" s="11"/>
      <c r="G18" s="11"/>
      <c r="H18" s="11"/>
      <c r="I18" s="11"/>
    </row>
    <row r="19" spans="1:9" s="11" customFormat="1" ht="12.75" customHeight="1"/>
    <row r="20" spans="1:9" s="11" customFormat="1" ht="11.25" customHeight="1"/>
    <row r="21" spans="1:9" s="11" customFormat="1" ht="12.75" customHeight="1">
      <c r="A21"/>
      <c r="B21"/>
      <c r="C21"/>
      <c r="D21"/>
      <c r="E21" s="17"/>
      <c r="F21"/>
      <c r="G21"/>
      <c r="H21"/>
      <c r="I21"/>
    </row>
    <row r="22" spans="1:9" s="11" customFormat="1" ht="18.600000000000001" customHeight="1">
      <c r="A22"/>
      <c r="B22"/>
      <c r="C22"/>
      <c r="D22" s="17"/>
      <c r="E22" s="17"/>
      <c r="F22"/>
      <c r="G22"/>
      <c r="H22"/>
      <c r="I22"/>
    </row>
    <row r="23" spans="1:9" s="11" customFormat="1" ht="20.45" customHeight="1">
      <c r="A23"/>
      <c r="B23"/>
      <c r="C23"/>
      <c r="D23"/>
      <c r="E23"/>
      <c r="F23"/>
      <c r="G23"/>
      <c r="H23"/>
      <c r="I23"/>
    </row>
    <row r="24" spans="1:9" s="11" customFormat="1" ht="18.600000000000001" customHeight="1">
      <c r="A24"/>
      <c r="B24"/>
      <c r="C24"/>
      <c r="D24"/>
      <c r="E24"/>
      <c r="F24"/>
      <c r="G24"/>
      <c r="H24"/>
      <c r="I24"/>
    </row>
    <row r="25" spans="1:9" s="11" customFormat="1">
      <c r="A25"/>
      <c r="B25"/>
      <c r="C25"/>
      <c r="D25"/>
      <c r="E25"/>
      <c r="F25"/>
      <c r="G25"/>
      <c r="H25"/>
      <c r="I25"/>
    </row>
    <row r="26" spans="1:9" s="11" customFormat="1">
      <c r="A26"/>
      <c r="B26"/>
      <c r="C26"/>
      <c r="D26"/>
      <c r="E26"/>
      <c r="F26"/>
      <c r="G26"/>
      <c r="H26"/>
      <c r="I26"/>
    </row>
    <row r="27" spans="1:9" s="11" customFormat="1">
      <c r="A27"/>
      <c r="B27"/>
      <c r="C27"/>
      <c r="D27"/>
      <c r="E27"/>
      <c r="F27"/>
      <c r="G27"/>
      <c r="H27"/>
      <c r="I27"/>
    </row>
    <row r="28" spans="1:9" s="11" customFormat="1">
      <c r="A28"/>
      <c r="B28"/>
      <c r="C28"/>
      <c r="D28"/>
      <c r="E28"/>
      <c r="F28"/>
      <c r="G28"/>
      <c r="H28"/>
      <c r="I28"/>
    </row>
    <row r="29" spans="1:9" ht="19.5" customHeight="1"/>
  </sheetData>
  <mergeCells count="9">
    <mergeCell ref="F2:J2"/>
    <mergeCell ref="A14:I14"/>
    <mergeCell ref="A4:I4"/>
    <mergeCell ref="A6:I6"/>
    <mergeCell ref="A8:A9"/>
    <mergeCell ref="B8:C8"/>
    <mergeCell ref="D8:E8"/>
    <mergeCell ref="F8:G8"/>
    <mergeCell ref="H8:I8"/>
  </mergeCells>
  <pageMargins left="0.55118110236220474" right="0.23622047244094491" top="0.19685039370078741" bottom="0.15748031496062992" header="0.11811023622047245" footer="0.11811023622047245"/>
  <pageSetup paperSize="9" scale="75" orientation="portrait" r:id="rId1"/>
</worksheet>
</file>

<file path=xl/worksheets/sheet2.xml><?xml version="1.0" encoding="utf-8"?>
<worksheet xmlns="http://schemas.openxmlformats.org/spreadsheetml/2006/main" xmlns:r="http://schemas.openxmlformats.org/officeDocument/2006/relationships">
  <dimension ref="B2:J49"/>
  <sheetViews>
    <sheetView workbookViewId="0">
      <selection activeCell="H5" sqref="H5:J5"/>
    </sheetView>
  </sheetViews>
  <sheetFormatPr defaultRowHeight="15"/>
  <cols>
    <col min="1" max="1" width="4.5703125" customWidth="1"/>
    <col min="2" max="2" width="5.28515625" customWidth="1"/>
    <col min="3" max="3" width="19" customWidth="1"/>
    <col min="4" max="4" width="12.85546875" customWidth="1"/>
    <col min="5" max="5" width="14.85546875" customWidth="1"/>
    <col min="6" max="6" width="11.85546875" customWidth="1"/>
    <col min="7" max="7" width="0.7109375" customWidth="1"/>
    <col min="8" max="9" width="13.28515625" customWidth="1"/>
    <col min="10" max="10" width="13.85546875" customWidth="1"/>
  </cols>
  <sheetData>
    <row r="2" spans="2:10" ht="15.75">
      <c r="B2" s="37"/>
      <c r="C2" s="38"/>
      <c r="D2" s="38"/>
      <c r="F2" s="24"/>
      <c r="G2" s="24"/>
      <c r="H2" s="36"/>
      <c r="I2" s="102" t="s">
        <v>94</v>
      </c>
      <c r="J2" s="102"/>
    </row>
    <row r="3" spans="2:10" ht="15.75">
      <c r="B3" s="37"/>
      <c r="C3" s="38"/>
      <c r="D3" s="38"/>
      <c r="F3" s="24"/>
      <c r="G3" s="24"/>
      <c r="H3" s="129" t="s">
        <v>15</v>
      </c>
      <c r="I3" s="129"/>
      <c r="J3" s="129"/>
    </row>
    <row r="4" spans="2:10" ht="15.75">
      <c r="B4" s="37"/>
      <c r="C4" s="38"/>
      <c r="D4" s="38"/>
      <c r="F4" s="24"/>
      <c r="G4" s="24"/>
      <c r="H4" s="129" t="s">
        <v>16</v>
      </c>
      <c r="I4" s="129"/>
      <c r="J4" s="129"/>
    </row>
    <row r="5" spans="2:10" ht="15.75">
      <c r="B5" s="37"/>
      <c r="C5" s="38"/>
      <c r="D5" s="38"/>
      <c r="F5" s="24"/>
      <c r="G5" s="24"/>
      <c r="H5" s="129" t="s">
        <v>168</v>
      </c>
      <c r="I5" s="129"/>
      <c r="J5" s="129"/>
    </row>
    <row r="6" spans="2:10" ht="15.75">
      <c r="B6" s="37"/>
      <c r="C6" s="38"/>
      <c r="D6" s="38"/>
      <c r="F6" s="24"/>
      <c r="G6" s="24"/>
      <c r="H6" s="129"/>
      <c r="I6" s="129"/>
      <c r="J6" s="129"/>
    </row>
    <row r="7" spans="2:10" ht="15.75">
      <c r="B7" s="123" t="s">
        <v>17</v>
      </c>
      <c r="C7" s="123"/>
      <c r="D7" s="123"/>
      <c r="E7" s="123"/>
      <c r="F7" s="123"/>
      <c r="G7" s="123"/>
      <c r="H7" s="123"/>
      <c r="I7" s="123"/>
      <c r="J7" s="123"/>
    </row>
    <row r="8" spans="2:10" ht="15.75">
      <c r="B8" s="123" t="s">
        <v>48</v>
      </c>
      <c r="C8" s="123"/>
      <c r="D8" s="123"/>
      <c r="E8" s="123"/>
      <c r="F8" s="123"/>
      <c r="G8" s="123"/>
      <c r="H8" s="123"/>
      <c r="I8" s="123"/>
      <c r="J8" s="123"/>
    </row>
    <row r="9" spans="2:10">
      <c r="B9" s="21"/>
      <c r="C9" s="21" t="s">
        <v>49</v>
      </c>
      <c r="D9" s="21"/>
      <c r="E9" s="21"/>
      <c r="F9" s="21"/>
      <c r="G9" s="21"/>
      <c r="H9" s="21"/>
      <c r="I9" s="21"/>
      <c r="J9" s="21"/>
    </row>
    <row r="10" spans="2:10" ht="15.75">
      <c r="B10" s="123" t="s">
        <v>18</v>
      </c>
      <c r="C10" s="123"/>
      <c r="D10" s="123"/>
      <c r="E10" s="123"/>
      <c r="F10" s="123"/>
      <c r="G10" s="123"/>
      <c r="H10" s="123"/>
      <c r="I10" s="123"/>
      <c r="J10" s="123"/>
    </row>
    <row r="11" spans="2:10">
      <c r="B11" s="21"/>
      <c r="C11" s="21"/>
      <c r="D11" s="21"/>
      <c r="E11" s="21"/>
      <c r="F11" s="39">
        <v>0.8296</v>
      </c>
      <c r="G11" s="21"/>
      <c r="H11" s="21"/>
      <c r="I11" s="39">
        <v>0.14180000000000001</v>
      </c>
      <c r="J11" s="40">
        <v>2.86E-2</v>
      </c>
    </row>
    <row r="12" spans="2:10" ht="16.5" thickBot="1">
      <c r="B12" s="119" t="s">
        <v>19</v>
      </c>
      <c r="C12" s="121" t="s">
        <v>50</v>
      </c>
      <c r="D12" s="121" t="s">
        <v>20</v>
      </c>
      <c r="E12" s="124" t="s">
        <v>51</v>
      </c>
      <c r="F12" s="126" t="s">
        <v>52</v>
      </c>
      <c r="G12" s="127"/>
      <c r="H12" s="127"/>
      <c r="I12" s="127"/>
      <c r="J12" s="128"/>
    </row>
    <row r="13" spans="2:10" ht="32.25" thickBot="1">
      <c r="B13" s="120"/>
      <c r="C13" s="122"/>
      <c r="D13" s="122"/>
      <c r="E13" s="125"/>
      <c r="F13" s="116" t="s">
        <v>45</v>
      </c>
      <c r="G13" s="117"/>
      <c r="H13" s="26" t="s">
        <v>46</v>
      </c>
      <c r="I13" s="26" t="s">
        <v>53</v>
      </c>
      <c r="J13" s="41" t="s">
        <v>47</v>
      </c>
    </row>
    <row r="14" spans="2:10" ht="16.5" thickBot="1">
      <c r="B14" s="42">
        <v>1</v>
      </c>
      <c r="C14" s="26">
        <v>2</v>
      </c>
      <c r="D14" s="26">
        <v>3</v>
      </c>
      <c r="E14" s="26">
        <v>4</v>
      </c>
      <c r="F14" s="116">
        <v>5</v>
      </c>
      <c r="G14" s="117"/>
      <c r="H14" s="26">
        <v>6</v>
      </c>
      <c r="I14" s="26">
        <v>7</v>
      </c>
      <c r="J14" s="41">
        <v>8</v>
      </c>
    </row>
    <row r="15" spans="2:10" ht="63.75" thickBot="1">
      <c r="B15" s="43">
        <v>1</v>
      </c>
      <c r="C15" s="27" t="s">
        <v>54</v>
      </c>
      <c r="D15" s="27" t="s">
        <v>42</v>
      </c>
      <c r="E15" s="30">
        <v>2196.91</v>
      </c>
      <c r="F15" s="114">
        <f>F16+F17+F18</f>
        <v>2126.7199999999998</v>
      </c>
      <c r="G15" s="118"/>
      <c r="H15" s="34">
        <v>0</v>
      </c>
      <c r="I15" s="30">
        <f>I16+I17+I18</f>
        <v>2371.61</v>
      </c>
      <c r="J15" s="44">
        <f>J16+J17+J18</f>
        <v>3366.65</v>
      </c>
    </row>
    <row r="16" spans="2:10" ht="63.75" thickBot="1">
      <c r="B16" s="45" t="s">
        <v>55</v>
      </c>
      <c r="C16" s="32" t="s">
        <v>56</v>
      </c>
      <c r="D16" s="32" t="s">
        <v>42</v>
      </c>
      <c r="E16" s="33">
        <v>2196.91</v>
      </c>
      <c r="F16" s="112">
        <v>2126.7199999999998</v>
      </c>
      <c r="G16" s="111"/>
      <c r="H16" s="35">
        <v>0</v>
      </c>
      <c r="I16" s="33">
        <v>2371.61</v>
      </c>
      <c r="J16" s="46">
        <v>3366.65</v>
      </c>
    </row>
    <row r="17" spans="2:10" ht="51" customHeight="1" thickBot="1">
      <c r="B17" s="45" t="s">
        <v>22</v>
      </c>
      <c r="C17" s="32" t="s">
        <v>57</v>
      </c>
      <c r="D17" s="32" t="s">
        <v>21</v>
      </c>
      <c r="E17" s="35">
        <v>0</v>
      </c>
      <c r="F17" s="110">
        <v>0</v>
      </c>
      <c r="G17" s="111"/>
      <c r="H17" s="35">
        <v>0</v>
      </c>
      <c r="I17" s="35">
        <v>0</v>
      </c>
      <c r="J17" s="47">
        <v>0</v>
      </c>
    </row>
    <row r="18" spans="2:10" ht="39" customHeight="1" thickBot="1">
      <c r="B18" s="45" t="s">
        <v>24</v>
      </c>
      <c r="C18" s="32" t="s">
        <v>58</v>
      </c>
      <c r="D18" s="32" t="s">
        <v>42</v>
      </c>
      <c r="E18" s="35">
        <v>0</v>
      </c>
      <c r="F18" s="110">
        <v>0</v>
      </c>
      <c r="G18" s="111"/>
      <c r="H18" s="35">
        <v>0</v>
      </c>
      <c r="I18" s="35">
        <v>0</v>
      </c>
      <c r="J18" s="47">
        <v>0</v>
      </c>
    </row>
    <row r="19" spans="2:10" ht="68.25" customHeight="1" thickBot="1">
      <c r="B19" s="43" t="s">
        <v>59</v>
      </c>
      <c r="C19" s="27" t="s">
        <v>60</v>
      </c>
      <c r="D19" s="27" t="s">
        <v>42</v>
      </c>
      <c r="E19" s="30">
        <f>E20</f>
        <v>454.5</v>
      </c>
      <c r="F19" s="114">
        <f>E19</f>
        <v>454.5</v>
      </c>
      <c r="G19" s="118"/>
      <c r="H19" s="30">
        <v>0</v>
      </c>
      <c r="I19" s="30">
        <f>E19</f>
        <v>454.5</v>
      </c>
      <c r="J19" s="44">
        <f>E19</f>
        <v>454.5</v>
      </c>
    </row>
    <row r="20" spans="2:10" ht="63.75" thickBot="1">
      <c r="B20" s="45" t="s">
        <v>31</v>
      </c>
      <c r="C20" s="32" t="s">
        <v>61</v>
      </c>
      <c r="D20" s="32" t="s">
        <v>42</v>
      </c>
      <c r="E20" s="33">
        <v>454.5</v>
      </c>
      <c r="F20" s="112">
        <f>E20</f>
        <v>454.5</v>
      </c>
      <c r="G20" s="111"/>
      <c r="H20" s="35">
        <v>0</v>
      </c>
      <c r="I20" s="33">
        <f>E20</f>
        <v>454.5</v>
      </c>
      <c r="J20" s="46">
        <f>E20</f>
        <v>454.5</v>
      </c>
    </row>
    <row r="21" spans="2:10" ht="150.75" customHeight="1" thickBot="1">
      <c r="B21" s="45" t="s">
        <v>32</v>
      </c>
      <c r="C21" s="32" t="s">
        <v>62</v>
      </c>
      <c r="D21" s="32" t="s">
        <v>21</v>
      </c>
      <c r="E21" s="33">
        <v>0</v>
      </c>
      <c r="F21" s="112">
        <f>E21*F11/100</f>
        <v>0</v>
      </c>
      <c r="G21" s="113"/>
      <c r="H21" s="33">
        <v>0</v>
      </c>
      <c r="I21" s="33">
        <f>E21*I11/100</f>
        <v>0</v>
      </c>
      <c r="J21" s="46">
        <f>[1]транспортування!G61</f>
        <v>0</v>
      </c>
    </row>
    <row r="22" spans="2:10" ht="38.25" customHeight="1" thickBot="1">
      <c r="B22" s="45" t="s">
        <v>33</v>
      </c>
      <c r="C22" s="32" t="s">
        <v>58</v>
      </c>
      <c r="D22" s="32" t="s">
        <v>42</v>
      </c>
      <c r="E22" s="33">
        <f>[1]транспортування!G62/23261*1000</f>
        <v>0</v>
      </c>
      <c r="F22" s="112">
        <f>E22</f>
        <v>0</v>
      </c>
      <c r="G22" s="111"/>
      <c r="H22" s="35">
        <v>0</v>
      </c>
      <c r="I22" s="33">
        <f>E22</f>
        <v>0</v>
      </c>
      <c r="J22" s="46">
        <f>E22</f>
        <v>0</v>
      </c>
    </row>
    <row r="23" spans="2:10" ht="70.5" customHeight="1" thickBot="1">
      <c r="B23" s="43">
        <v>3</v>
      </c>
      <c r="C23" s="27" t="s">
        <v>63</v>
      </c>
      <c r="D23" s="27" t="s">
        <v>42</v>
      </c>
      <c r="E23" s="30">
        <f>E24</f>
        <v>143.57</v>
      </c>
      <c r="F23" s="114">
        <f>E23</f>
        <v>143.57</v>
      </c>
      <c r="G23" s="118"/>
      <c r="H23" s="30">
        <v>0</v>
      </c>
      <c r="I23" s="30">
        <f>E23</f>
        <v>143.57</v>
      </c>
      <c r="J23" s="44">
        <f>E23</f>
        <v>143.57</v>
      </c>
    </row>
    <row r="24" spans="2:10" ht="63.75" thickBot="1">
      <c r="B24" s="45" t="s">
        <v>34</v>
      </c>
      <c r="C24" s="32" t="s">
        <v>64</v>
      </c>
      <c r="D24" s="32" t="s">
        <v>42</v>
      </c>
      <c r="E24" s="33">
        <v>143.57</v>
      </c>
      <c r="F24" s="112">
        <f>E24</f>
        <v>143.57</v>
      </c>
      <c r="G24" s="111"/>
      <c r="H24" s="35">
        <v>0</v>
      </c>
      <c r="I24" s="33">
        <f>E24</f>
        <v>143.57</v>
      </c>
      <c r="J24" s="46">
        <f>E24</f>
        <v>143.57</v>
      </c>
    </row>
    <row r="25" spans="2:10" ht="48.75" customHeight="1" thickBot="1">
      <c r="B25" s="45" t="s">
        <v>35</v>
      </c>
      <c r="C25" s="32" t="s">
        <v>57</v>
      </c>
      <c r="D25" s="32" t="s">
        <v>21</v>
      </c>
      <c r="E25" s="35">
        <v>0</v>
      </c>
      <c r="F25" s="110">
        <v>0</v>
      </c>
      <c r="G25" s="111"/>
      <c r="H25" s="35">
        <v>0</v>
      </c>
      <c r="I25" s="35">
        <v>0</v>
      </c>
      <c r="J25" s="47">
        <v>0</v>
      </c>
    </row>
    <row r="26" spans="2:10" ht="36.75" customHeight="1" thickBot="1">
      <c r="B26" s="45" t="s">
        <v>36</v>
      </c>
      <c r="C26" s="32" t="s">
        <v>58</v>
      </c>
      <c r="D26" s="32" t="s">
        <v>42</v>
      </c>
      <c r="E26" s="35">
        <v>0</v>
      </c>
      <c r="F26" s="110">
        <v>0</v>
      </c>
      <c r="G26" s="111"/>
      <c r="H26" s="35">
        <v>0</v>
      </c>
      <c r="I26" s="35">
        <v>0</v>
      </c>
      <c r="J26" s="47">
        <v>0</v>
      </c>
    </row>
    <row r="27" spans="2:10" ht="54.75" customHeight="1" thickBot="1">
      <c r="B27" s="43">
        <v>4</v>
      </c>
      <c r="C27" s="27" t="s">
        <v>65</v>
      </c>
      <c r="D27" s="27" t="s">
        <v>42</v>
      </c>
      <c r="E27" s="30">
        <f>E28+E29+E30</f>
        <v>2906.7791999999999</v>
      </c>
      <c r="F27" s="114">
        <f>F28+F29+F30</f>
        <v>2833.7815999999998</v>
      </c>
      <c r="G27" s="115"/>
      <c r="H27" s="34">
        <v>0</v>
      </c>
      <c r="I27" s="30">
        <f>I28+I29+I30</f>
        <v>3088.4672000000005</v>
      </c>
      <c r="J27" s="44">
        <f>J28+J29+J30</f>
        <v>4123.3088000000007</v>
      </c>
    </row>
    <row r="28" spans="2:10" ht="54" customHeight="1" thickBot="1">
      <c r="B28" s="45" t="s">
        <v>66</v>
      </c>
      <c r="C28" s="32" t="s">
        <v>67</v>
      </c>
      <c r="D28" s="32" t="s">
        <v>42</v>
      </c>
      <c r="E28" s="33">
        <f>E16+E20+E24</f>
        <v>2794.98</v>
      </c>
      <c r="F28" s="112">
        <f>F16+F20+F24</f>
        <v>2724.79</v>
      </c>
      <c r="G28" s="111"/>
      <c r="H28" s="35">
        <v>0</v>
      </c>
      <c r="I28" s="33">
        <f>I16+I20+I24</f>
        <v>2969.6800000000003</v>
      </c>
      <c r="J28" s="46">
        <f>J16+J20+J24</f>
        <v>3964.7200000000003</v>
      </c>
    </row>
    <row r="29" spans="2:10" ht="53.25" customHeight="1" thickBot="1">
      <c r="B29" s="45" t="s">
        <v>68</v>
      </c>
      <c r="C29" s="32" t="s">
        <v>57</v>
      </c>
      <c r="D29" s="32" t="s">
        <v>21</v>
      </c>
      <c r="E29" s="33">
        <v>0</v>
      </c>
      <c r="F29" s="112">
        <f>E29*0.8760222562</f>
        <v>0</v>
      </c>
      <c r="G29" s="113"/>
      <c r="H29" s="33">
        <v>0</v>
      </c>
      <c r="I29" s="33">
        <f>E29*0.09578400986</f>
        <v>0</v>
      </c>
      <c r="J29" s="46">
        <f>E29*0.028193733896</f>
        <v>0</v>
      </c>
    </row>
    <row r="30" spans="2:10" ht="36" customHeight="1" thickBot="1">
      <c r="B30" s="45" t="s">
        <v>69</v>
      </c>
      <c r="C30" s="32" t="s">
        <v>70</v>
      </c>
      <c r="D30" s="32" t="s">
        <v>42</v>
      </c>
      <c r="E30" s="33">
        <f>E28*0.04</f>
        <v>111.7992</v>
      </c>
      <c r="F30" s="112">
        <f>F28*0.04</f>
        <v>108.99160000000001</v>
      </c>
      <c r="G30" s="111"/>
      <c r="H30" s="35">
        <v>0</v>
      </c>
      <c r="I30" s="33">
        <f>I28*0.04</f>
        <v>118.78720000000001</v>
      </c>
      <c r="J30" s="46">
        <f>J28*0.04</f>
        <v>158.58880000000002</v>
      </c>
    </row>
    <row r="31" spans="2:10" ht="111" thickBot="1">
      <c r="B31" s="45">
        <v>5</v>
      </c>
      <c r="C31" s="32" t="s">
        <v>71</v>
      </c>
      <c r="D31" s="32" t="s">
        <v>21</v>
      </c>
      <c r="E31" s="33">
        <f>E32+E34</f>
        <v>58324.610948000001</v>
      </c>
      <c r="F31" s="112">
        <f>F32+F34</f>
        <v>47171.128513600001</v>
      </c>
      <c r="G31" s="113"/>
      <c r="H31" s="35">
        <v>0</v>
      </c>
      <c r="I31" s="33">
        <f>I32+I34</f>
        <v>8786.6891840000008</v>
      </c>
      <c r="J31" s="46">
        <f>J32+J34</f>
        <v>2366.7792512000005</v>
      </c>
    </row>
    <row r="32" spans="2:10" ht="95.25" thickBot="1">
      <c r="B32" s="45" t="s">
        <v>72</v>
      </c>
      <c r="C32" s="32" t="s">
        <v>73</v>
      </c>
      <c r="D32" s="32" t="s">
        <v>21</v>
      </c>
      <c r="E32" s="33">
        <v>56081.36</v>
      </c>
      <c r="F32" s="112">
        <f>(F16+F20+F24)*F39/1000</f>
        <v>45356.854339999998</v>
      </c>
      <c r="G32" s="113"/>
      <c r="H32" s="35">
        <f>H28*20600/1000</f>
        <v>0</v>
      </c>
      <c r="I32" s="33">
        <f>(I16+I20+I24)*I39/1000</f>
        <v>8448.7396000000008</v>
      </c>
      <c r="J32" s="33">
        <f>(J16+J20+J24)*J40/1000</f>
        <v>2275.7492800000005</v>
      </c>
    </row>
    <row r="33" spans="2:10" ht="55.5" customHeight="1" thickBot="1">
      <c r="B33" s="45" t="s">
        <v>74</v>
      </c>
      <c r="C33" s="32" t="s">
        <v>57</v>
      </c>
      <c r="D33" s="32" t="s">
        <v>21</v>
      </c>
      <c r="E33" s="33">
        <f>E29</f>
        <v>0</v>
      </c>
      <c r="F33" s="112">
        <f>F29</f>
        <v>0</v>
      </c>
      <c r="G33" s="111"/>
      <c r="H33" s="35">
        <v>0</v>
      </c>
      <c r="I33" s="33">
        <f>I29</f>
        <v>0</v>
      </c>
      <c r="J33" s="46">
        <f>J29</f>
        <v>0</v>
      </c>
    </row>
    <row r="34" spans="2:10" ht="100.5" customHeight="1" thickBot="1">
      <c r="B34" s="45" t="s">
        <v>75</v>
      </c>
      <c r="C34" s="32" t="s">
        <v>76</v>
      </c>
      <c r="D34" s="32" t="s">
        <v>21</v>
      </c>
      <c r="E34" s="33">
        <f>E30*E40/1000</f>
        <v>2243.2509479999999</v>
      </c>
      <c r="F34" s="112">
        <f>F30*F39/1000</f>
        <v>1814.2741736</v>
      </c>
      <c r="G34" s="113"/>
      <c r="H34" s="35">
        <f>0</f>
        <v>0</v>
      </c>
      <c r="I34" s="33">
        <f>I30*I40/1000</f>
        <v>337.94958400000002</v>
      </c>
      <c r="J34" s="46">
        <f>J30*J40/1000</f>
        <v>91.02997120000002</v>
      </c>
    </row>
    <row r="35" spans="2:10" ht="210" customHeight="1" thickBot="1">
      <c r="B35" s="45">
        <v>6</v>
      </c>
      <c r="C35" s="32" t="s">
        <v>77</v>
      </c>
      <c r="D35" s="32" t="s">
        <v>21</v>
      </c>
      <c r="E35" s="33">
        <f t="shared" ref="E35:F37" si="0">E31</f>
        <v>58324.610948000001</v>
      </c>
      <c r="F35" s="112">
        <f t="shared" si="0"/>
        <v>47171.128513600001</v>
      </c>
      <c r="G35" s="113"/>
      <c r="H35" s="35">
        <v>0</v>
      </c>
      <c r="I35" s="33">
        <f t="shared" ref="I35:J37" si="1">I31</f>
        <v>8786.6891840000008</v>
      </c>
      <c r="J35" s="46">
        <f t="shared" si="1"/>
        <v>2366.7792512000005</v>
      </c>
    </row>
    <row r="36" spans="2:10" ht="99" customHeight="1" thickBot="1">
      <c r="B36" s="45" t="s">
        <v>78</v>
      </c>
      <c r="C36" s="32" t="s">
        <v>73</v>
      </c>
      <c r="D36" s="32" t="s">
        <v>21</v>
      </c>
      <c r="E36" s="33">
        <f t="shared" si="0"/>
        <v>56081.36</v>
      </c>
      <c r="F36" s="112">
        <f t="shared" si="0"/>
        <v>45356.854339999998</v>
      </c>
      <c r="G36" s="113"/>
      <c r="H36" s="33"/>
      <c r="I36" s="33">
        <f t="shared" si="1"/>
        <v>8448.7396000000008</v>
      </c>
      <c r="J36" s="46">
        <f t="shared" si="1"/>
        <v>2275.7492800000005</v>
      </c>
    </row>
    <row r="37" spans="2:10" ht="51.75" customHeight="1" thickBot="1">
      <c r="B37" s="45" t="s">
        <v>79</v>
      </c>
      <c r="C37" s="32" t="s">
        <v>57</v>
      </c>
      <c r="D37" s="32" t="s">
        <v>21</v>
      </c>
      <c r="E37" s="33">
        <f t="shared" si="0"/>
        <v>0</v>
      </c>
      <c r="F37" s="112">
        <f t="shared" si="0"/>
        <v>0</v>
      </c>
      <c r="G37" s="111"/>
      <c r="H37" s="35">
        <v>0</v>
      </c>
      <c r="I37" s="33">
        <f t="shared" si="1"/>
        <v>0</v>
      </c>
      <c r="J37" s="46">
        <f t="shared" si="1"/>
        <v>0</v>
      </c>
    </row>
    <row r="38" spans="2:10" ht="95.25" customHeight="1" thickBot="1">
      <c r="B38" s="45" t="s">
        <v>80</v>
      </c>
      <c r="C38" s="32" t="s">
        <v>76</v>
      </c>
      <c r="D38" s="32" t="s">
        <v>21</v>
      </c>
      <c r="E38" s="33">
        <f>E34</f>
        <v>2243.2509479999999</v>
      </c>
      <c r="F38" s="112">
        <f>F34</f>
        <v>1814.2741736</v>
      </c>
      <c r="G38" s="111"/>
      <c r="H38" s="35">
        <v>0</v>
      </c>
      <c r="I38" s="33">
        <f>I30*I40/1000</f>
        <v>337.94958400000002</v>
      </c>
      <c r="J38" s="46">
        <f>J40*J30/1000</f>
        <v>91.02997120000002</v>
      </c>
    </row>
    <row r="39" spans="2:10" ht="146.25" customHeight="1" thickBot="1">
      <c r="B39" s="45">
        <v>7</v>
      </c>
      <c r="C39" s="32" t="s">
        <v>81</v>
      </c>
      <c r="D39" s="32" t="s">
        <v>43</v>
      </c>
      <c r="E39" s="35">
        <v>20065</v>
      </c>
      <c r="F39" s="110">
        <v>16646</v>
      </c>
      <c r="G39" s="111"/>
      <c r="H39" s="35">
        <v>0</v>
      </c>
      <c r="I39" s="33">
        <v>2845</v>
      </c>
      <c r="J39" s="47">
        <v>574</v>
      </c>
    </row>
    <row r="40" spans="2:10" ht="63" customHeight="1" thickBot="1">
      <c r="B40" s="45" t="s">
        <v>82</v>
      </c>
      <c r="C40" s="32" t="s">
        <v>83</v>
      </c>
      <c r="D40" s="32" t="s">
        <v>43</v>
      </c>
      <c r="E40" s="35">
        <v>20065</v>
      </c>
      <c r="F40" s="110">
        <v>16646</v>
      </c>
      <c r="G40" s="111"/>
      <c r="H40" s="35">
        <v>0</v>
      </c>
      <c r="I40" s="35">
        <v>2845</v>
      </c>
      <c r="J40" s="47">
        <v>574</v>
      </c>
    </row>
    <row r="41" spans="2:10" ht="53.25" customHeight="1" thickBot="1">
      <c r="B41" s="45" t="s">
        <v>84</v>
      </c>
      <c r="C41" s="32" t="s">
        <v>44</v>
      </c>
      <c r="D41" s="32" t="s">
        <v>43</v>
      </c>
      <c r="E41" s="35">
        <v>0</v>
      </c>
      <c r="F41" s="110">
        <v>0</v>
      </c>
      <c r="G41" s="111"/>
      <c r="H41" s="35">
        <v>0</v>
      </c>
      <c r="I41" s="35">
        <v>0</v>
      </c>
      <c r="J41" s="47">
        <v>0</v>
      </c>
    </row>
    <row r="42" spans="2:10" ht="48.75" customHeight="1" thickBot="1">
      <c r="B42" s="45">
        <v>8</v>
      </c>
      <c r="C42" s="32" t="s">
        <v>85</v>
      </c>
      <c r="D42" s="48"/>
      <c r="E42" s="35"/>
      <c r="F42" s="110"/>
      <c r="G42" s="111"/>
      <c r="H42" s="35"/>
      <c r="I42" s="35"/>
      <c r="J42" s="47"/>
    </row>
    <row r="43" spans="2:10" ht="33" customHeight="1" thickBot="1">
      <c r="B43" s="45" t="s">
        <v>38</v>
      </c>
      <c r="C43" s="32" t="s">
        <v>86</v>
      </c>
      <c r="D43" s="32" t="s">
        <v>87</v>
      </c>
      <c r="E43" s="35">
        <v>0</v>
      </c>
      <c r="F43" s="110">
        <v>0</v>
      </c>
      <c r="G43" s="111"/>
      <c r="H43" s="35">
        <v>0</v>
      </c>
      <c r="I43" s="35">
        <v>0</v>
      </c>
      <c r="J43" s="47">
        <v>0</v>
      </c>
    </row>
    <row r="44" spans="2:10" ht="51.75" customHeight="1" thickBot="1">
      <c r="B44" s="45" t="s">
        <v>40</v>
      </c>
      <c r="C44" s="32" t="s">
        <v>88</v>
      </c>
      <c r="D44" s="32" t="s">
        <v>87</v>
      </c>
      <c r="E44" s="33">
        <f>E22*100/E19</f>
        <v>0</v>
      </c>
      <c r="F44" s="112">
        <f>F22*100/F19</f>
        <v>0</v>
      </c>
      <c r="G44" s="113"/>
      <c r="H44" s="35">
        <v>0</v>
      </c>
      <c r="I44" s="33">
        <f>I22*100/I19</f>
        <v>0</v>
      </c>
      <c r="J44" s="46">
        <f>J22*100/J19</f>
        <v>0</v>
      </c>
    </row>
    <row r="45" spans="2:10" ht="31.5" customHeight="1">
      <c r="B45" s="49" t="s">
        <v>89</v>
      </c>
      <c r="C45" s="50" t="s">
        <v>90</v>
      </c>
      <c r="D45" s="50" t="s">
        <v>87</v>
      </c>
      <c r="E45" s="51">
        <v>0</v>
      </c>
      <c r="F45" s="104">
        <v>0</v>
      </c>
      <c r="G45" s="105"/>
      <c r="H45" s="51">
        <v>0</v>
      </c>
      <c r="I45" s="51">
        <v>0</v>
      </c>
      <c r="J45" s="52">
        <v>0</v>
      </c>
    </row>
    <row r="46" spans="2:10" ht="33" customHeight="1">
      <c r="B46" s="53" t="s">
        <v>91</v>
      </c>
      <c r="C46" s="54" t="s">
        <v>92</v>
      </c>
      <c r="D46" s="54" t="s">
        <v>87</v>
      </c>
      <c r="E46" s="55">
        <v>4</v>
      </c>
      <c r="F46" s="106">
        <v>4</v>
      </c>
      <c r="G46" s="106"/>
      <c r="H46" s="55">
        <v>0</v>
      </c>
      <c r="I46" s="55">
        <v>4</v>
      </c>
      <c r="J46" s="55">
        <v>4</v>
      </c>
    </row>
    <row r="47" spans="2:10" ht="15.75">
      <c r="B47" s="107" t="s">
        <v>93</v>
      </c>
      <c r="C47" s="108"/>
      <c r="D47" s="108"/>
      <c r="E47" s="108"/>
      <c r="F47" s="108"/>
      <c r="G47" s="108"/>
      <c r="H47" s="108"/>
      <c r="I47" s="108"/>
      <c r="J47" s="109"/>
    </row>
    <row r="49" spans="3:9">
      <c r="C49" s="21" t="s">
        <v>11</v>
      </c>
      <c r="D49" s="21"/>
      <c r="E49" s="21"/>
      <c r="F49" s="21"/>
      <c r="G49" s="21"/>
      <c r="H49" s="103" t="s">
        <v>14</v>
      </c>
      <c r="I49" s="103"/>
    </row>
  </sheetData>
  <mergeCells count="49">
    <mergeCell ref="B8:J8"/>
    <mergeCell ref="H4:J4"/>
    <mergeCell ref="H5:J5"/>
    <mergeCell ref="H6:J6"/>
    <mergeCell ref="H3:J3"/>
    <mergeCell ref="B7:J7"/>
    <mergeCell ref="B12:B13"/>
    <mergeCell ref="C12:C13"/>
    <mergeCell ref="D12:D13"/>
    <mergeCell ref="B10:J10"/>
    <mergeCell ref="E12:E13"/>
    <mergeCell ref="F12:J12"/>
    <mergeCell ref="F13:G13"/>
    <mergeCell ref="F25:G25"/>
    <mergeCell ref="F14:G14"/>
    <mergeCell ref="F15:G15"/>
    <mergeCell ref="F16:G16"/>
    <mergeCell ref="F17:G17"/>
    <mergeCell ref="F18:G18"/>
    <mergeCell ref="F19:G19"/>
    <mergeCell ref="F20:G20"/>
    <mergeCell ref="F21:G21"/>
    <mergeCell ref="F22:G22"/>
    <mergeCell ref="F23:G23"/>
    <mergeCell ref="F24:G24"/>
    <mergeCell ref="F38:G38"/>
    <mergeCell ref="F26:G26"/>
    <mergeCell ref="F27:G27"/>
    <mergeCell ref="F28:G28"/>
    <mergeCell ref="F29:G29"/>
    <mergeCell ref="F30:G30"/>
    <mergeCell ref="F31:G31"/>
    <mergeCell ref="F32:G32"/>
    <mergeCell ref="I2:J2"/>
    <mergeCell ref="H49:I49"/>
    <mergeCell ref="F45:G45"/>
    <mergeCell ref="F46:G46"/>
    <mergeCell ref="B47:J47"/>
    <mergeCell ref="F39:G39"/>
    <mergeCell ref="F40:G40"/>
    <mergeCell ref="F41:G41"/>
    <mergeCell ref="F42:G42"/>
    <mergeCell ref="F43:G43"/>
    <mergeCell ref="F44:G44"/>
    <mergeCell ref="F33:G33"/>
    <mergeCell ref="F34:G34"/>
    <mergeCell ref="F35:G35"/>
    <mergeCell ref="F36:G36"/>
    <mergeCell ref="F37:G37"/>
  </mergeCells>
  <pageMargins left="0.70866141732283472" right="0.70866141732283472" top="0.74803149606299213" bottom="0.74803149606299213" header="0.31496062992125984" footer="0.31496062992125984"/>
  <pageSetup paperSize="9" scale="75" orientation="portrait" verticalDpi="0" r:id="rId1"/>
</worksheet>
</file>

<file path=xl/worksheets/sheet3.xml><?xml version="1.0" encoding="utf-8"?>
<worksheet xmlns="http://schemas.openxmlformats.org/spreadsheetml/2006/main" xmlns:r="http://schemas.openxmlformats.org/officeDocument/2006/relationships">
  <dimension ref="B1:K62"/>
  <sheetViews>
    <sheetView workbookViewId="0">
      <selection activeCell="O16" sqref="O16"/>
    </sheetView>
  </sheetViews>
  <sheetFormatPr defaultRowHeight="15"/>
  <cols>
    <col min="1" max="1" width="2.85546875" customWidth="1"/>
    <col min="2" max="2" width="7.5703125" customWidth="1"/>
    <col min="3" max="3" width="32.7109375" customWidth="1"/>
    <col min="4" max="4" width="10.28515625" customWidth="1"/>
    <col min="5" max="5" width="10" customWidth="1"/>
    <col min="6" max="6" width="9.7109375" customWidth="1"/>
    <col min="7" max="7" width="10.28515625" customWidth="1"/>
    <col min="8" max="8" width="9.42578125" customWidth="1"/>
    <col min="9" max="9" width="9.85546875" customWidth="1"/>
    <col min="10" max="10" width="10" customWidth="1"/>
    <col min="11" max="11" width="9.5703125" customWidth="1"/>
  </cols>
  <sheetData>
    <row r="1" spans="2:11">
      <c r="I1" s="132" t="s">
        <v>166</v>
      </c>
      <c r="J1" s="132"/>
    </row>
    <row r="2" spans="2:11">
      <c r="I2" s="56" t="s">
        <v>15</v>
      </c>
    </row>
    <row r="3" spans="2:11" ht="17.25" customHeight="1">
      <c r="H3" t="s">
        <v>16</v>
      </c>
    </row>
    <row r="4" spans="2:11">
      <c r="H4" t="s">
        <v>170</v>
      </c>
    </row>
    <row r="5" spans="2:11" ht="15.75">
      <c r="D5" s="21"/>
      <c r="E5" s="21"/>
      <c r="F5" s="57" t="s">
        <v>96</v>
      </c>
      <c r="G5" s="21"/>
      <c r="H5" s="21"/>
      <c r="I5" s="21"/>
      <c r="J5" s="21"/>
    </row>
    <row r="6" spans="2:11">
      <c r="D6" s="21" t="s">
        <v>97</v>
      </c>
      <c r="E6" s="21"/>
      <c r="F6" s="21"/>
      <c r="G6" s="21"/>
      <c r="H6" s="21"/>
      <c r="I6" s="21"/>
      <c r="J6" s="21"/>
    </row>
    <row r="7" spans="2:11">
      <c r="D7" s="21"/>
      <c r="E7" s="21"/>
      <c r="F7" s="21" t="s">
        <v>98</v>
      </c>
      <c r="G7" s="21"/>
      <c r="H7" s="21"/>
      <c r="I7" s="21"/>
      <c r="J7" s="21"/>
    </row>
    <row r="8" spans="2:11">
      <c r="F8" t="s">
        <v>99</v>
      </c>
    </row>
    <row r="9" spans="2:11">
      <c r="G9" s="58">
        <v>0.8296</v>
      </c>
      <c r="I9" s="58">
        <v>0.14180000000000001</v>
      </c>
      <c r="K9" s="58">
        <v>2.86E-2</v>
      </c>
    </row>
    <row r="10" spans="2:11">
      <c r="B10" s="59" t="s">
        <v>19</v>
      </c>
      <c r="C10" s="28"/>
      <c r="D10" s="133" t="s">
        <v>100</v>
      </c>
      <c r="E10" s="134"/>
      <c r="F10" s="135" t="s">
        <v>101</v>
      </c>
      <c r="G10" s="134"/>
      <c r="H10" s="135" t="s">
        <v>101</v>
      </c>
      <c r="I10" s="134"/>
      <c r="J10" s="135" t="s">
        <v>101</v>
      </c>
      <c r="K10" s="134"/>
    </row>
    <row r="11" spans="2:11">
      <c r="B11" s="60"/>
      <c r="C11" s="28" t="s">
        <v>102</v>
      </c>
      <c r="D11" s="136" t="s">
        <v>103</v>
      </c>
      <c r="E11" s="131"/>
      <c r="F11" s="130" t="s">
        <v>45</v>
      </c>
      <c r="G11" s="131"/>
      <c r="H11" s="130" t="s">
        <v>53</v>
      </c>
      <c r="I11" s="131"/>
      <c r="J11" s="130" t="s">
        <v>47</v>
      </c>
      <c r="K11" s="131"/>
    </row>
    <row r="12" spans="2:11" ht="16.5" customHeight="1">
      <c r="B12" s="60"/>
      <c r="C12" s="61"/>
      <c r="D12" s="62" t="s">
        <v>104</v>
      </c>
      <c r="E12" s="63"/>
      <c r="F12" s="63" t="s">
        <v>104</v>
      </c>
      <c r="G12" s="63"/>
      <c r="H12" s="63" t="s">
        <v>104</v>
      </c>
      <c r="I12" s="63"/>
      <c r="J12" s="63" t="s">
        <v>104</v>
      </c>
      <c r="K12" s="63"/>
    </row>
    <row r="13" spans="2:11">
      <c r="B13" s="64"/>
      <c r="C13" s="65"/>
      <c r="D13" s="66" t="s">
        <v>105</v>
      </c>
      <c r="E13" s="67" t="s">
        <v>42</v>
      </c>
      <c r="F13" s="67" t="s">
        <v>105</v>
      </c>
      <c r="G13" s="67" t="s">
        <v>42</v>
      </c>
      <c r="H13" s="67" t="s">
        <v>105</v>
      </c>
      <c r="I13" s="67" t="s">
        <v>42</v>
      </c>
      <c r="J13" s="67" t="s">
        <v>105</v>
      </c>
      <c r="K13" s="67" t="s">
        <v>42</v>
      </c>
    </row>
    <row r="14" spans="2:11">
      <c r="B14" s="68">
        <v>1</v>
      </c>
      <c r="C14" s="68">
        <v>2</v>
      </c>
      <c r="D14" s="68">
        <v>3</v>
      </c>
      <c r="E14" s="68">
        <v>4</v>
      </c>
      <c r="F14" s="68">
        <v>5</v>
      </c>
      <c r="G14" s="68">
        <v>6</v>
      </c>
      <c r="H14" s="68">
        <v>7</v>
      </c>
      <c r="I14" s="68">
        <v>8</v>
      </c>
      <c r="J14" s="68">
        <v>9</v>
      </c>
      <c r="K14" s="68">
        <v>10</v>
      </c>
    </row>
    <row r="15" spans="2:11">
      <c r="B15" s="68" t="s">
        <v>106</v>
      </c>
      <c r="C15" s="69" t="s">
        <v>107</v>
      </c>
      <c r="D15" s="70">
        <f>D16+D23+D24+D28</f>
        <v>52055.89</v>
      </c>
      <c r="E15" s="70">
        <f t="shared" ref="E15:K15" si="0">E16+E23+E24+E28</f>
        <v>2594.3638175928236</v>
      </c>
      <c r="F15" s="70">
        <f t="shared" si="0"/>
        <v>42017.31</v>
      </c>
      <c r="G15" s="70">
        <f t="shared" si="0"/>
        <v>2524.1685690255918</v>
      </c>
      <c r="H15" s="70">
        <f t="shared" si="0"/>
        <v>7878.0511300000007</v>
      </c>
      <c r="I15" s="70">
        <f t="shared" si="0"/>
        <v>2769.0865131810197</v>
      </c>
      <c r="J15" s="70">
        <f t="shared" si="0"/>
        <v>2160.5405100000003</v>
      </c>
      <c r="K15" s="70">
        <f t="shared" si="0"/>
        <v>3764.0078571428571</v>
      </c>
    </row>
    <row r="16" spans="2:11" ht="22.5" customHeight="1">
      <c r="B16" s="71" t="s">
        <v>55</v>
      </c>
      <c r="C16" s="69" t="s">
        <v>108</v>
      </c>
      <c r="D16" s="72">
        <f>D17+D18+D20+D22-0.02</f>
        <v>33198.04</v>
      </c>
      <c r="E16" s="73">
        <f>E17+E18+E20+E22</f>
        <v>1654.5257911786694</v>
      </c>
      <c r="F16" s="72">
        <f t="shared" ref="F16:K16" si="1">F17+F18+F20+F22</f>
        <v>26372.829999999998</v>
      </c>
      <c r="G16" s="72">
        <f t="shared" si="1"/>
        <v>1584.3343746245346</v>
      </c>
      <c r="H16" s="72">
        <f t="shared" si="1"/>
        <v>5204.0200000000004</v>
      </c>
      <c r="I16" s="72">
        <f t="shared" si="1"/>
        <v>1829.1810193321619</v>
      </c>
      <c r="J16" s="72">
        <f t="shared" si="1"/>
        <v>1621.2100000000003</v>
      </c>
      <c r="K16" s="72">
        <f t="shared" si="1"/>
        <v>2824.4076655052263</v>
      </c>
    </row>
    <row r="17" spans="2:11" ht="22.5" customHeight="1">
      <c r="B17" s="71" t="s">
        <v>109</v>
      </c>
      <c r="C17" s="25" t="s">
        <v>110</v>
      </c>
      <c r="D17" s="72">
        <v>21990.51</v>
      </c>
      <c r="E17" s="72">
        <f>D17/D55*1000</f>
        <v>1095.9636182407176</v>
      </c>
      <c r="F17" s="72">
        <v>17075.05</v>
      </c>
      <c r="G17" s="72">
        <f>F17/F55*1000</f>
        <v>1025.7749609515799</v>
      </c>
      <c r="H17" s="72">
        <v>3614.79</v>
      </c>
      <c r="I17" s="72">
        <f>H17/H55*1000</f>
        <v>1270.5764499121267</v>
      </c>
      <c r="J17" s="72">
        <v>1300.67</v>
      </c>
      <c r="K17" s="72">
        <f>J17/J55*1000</f>
        <v>2265.9756097560976</v>
      </c>
    </row>
    <row r="18" spans="2:11" ht="22.5" customHeight="1">
      <c r="B18" s="71" t="s">
        <v>111</v>
      </c>
      <c r="C18" s="25" t="s">
        <v>112</v>
      </c>
      <c r="D18" s="72">
        <v>9028.2900000000009</v>
      </c>
      <c r="E18" s="72">
        <f>D18/D55*1000</f>
        <v>449.95215549464245</v>
      </c>
      <c r="F18" s="72">
        <v>7489.87</v>
      </c>
      <c r="G18" s="72">
        <f>F18/F55*1000</f>
        <v>449.95013817133247</v>
      </c>
      <c r="H18" s="72">
        <v>1280.21</v>
      </c>
      <c r="I18" s="72">
        <f>H18/H55*1000</f>
        <v>449.98594024604569</v>
      </c>
      <c r="J18" s="72">
        <v>258.20999999999998</v>
      </c>
      <c r="K18" s="72">
        <f>J18/J55*1000</f>
        <v>449.84320557491287</v>
      </c>
    </row>
    <row r="19" spans="2:11" ht="22.5" customHeight="1">
      <c r="B19" s="74" t="s">
        <v>113</v>
      </c>
      <c r="C19" s="28" t="s">
        <v>114</v>
      </c>
      <c r="D19" s="75"/>
      <c r="E19" s="76"/>
      <c r="F19" s="76"/>
      <c r="G19" s="76"/>
      <c r="H19" s="76"/>
      <c r="I19" s="76"/>
      <c r="J19" s="76"/>
      <c r="K19" s="76"/>
    </row>
    <row r="20" spans="2:11" ht="17.25" customHeight="1">
      <c r="B20" s="77"/>
      <c r="C20" s="65" t="s">
        <v>115</v>
      </c>
      <c r="D20" s="75">
        <v>2006.15</v>
      </c>
      <c r="E20" s="78">
        <f>D20/D55*1000</f>
        <v>99.982556690755047</v>
      </c>
      <c r="F20" s="78">
        <v>1664.3</v>
      </c>
      <c r="G20" s="78">
        <f>F20/F55*1000</f>
        <v>99.981977652288833</v>
      </c>
      <c r="H20" s="78">
        <v>284.47000000000003</v>
      </c>
      <c r="I20" s="78">
        <f>H20/H55*1000</f>
        <v>99.989455184534279</v>
      </c>
      <c r="J20" s="78">
        <v>57.38</v>
      </c>
      <c r="K20" s="78">
        <f>J20/J55*1000</f>
        <v>99.965156794425098</v>
      </c>
    </row>
    <row r="21" spans="2:11" ht="15" customHeight="1">
      <c r="B21" s="74" t="s">
        <v>116</v>
      </c>
      <c r="C21" s="28" t="s">
        <v>117</v>
      </c>
      <c r="D21" s="29"/>
      <c r="E21" s="76"/>
      <c r="F21" s="76"/>
      <c r="G21" s="76"/>
      <c r="H21" s="76"/>
      <c r="I21" s="76"/>
      <c r="J21" s="76"/>
      <c r="K21" s="76"/>
    </row>
    <row r="22" spans="2:11" ht="15.75" customHeight="1">
      <c r="B22" s="77"/>
      <c r="C22" s="65" t="s">
        <v>118</v>
      </c>
      <c r="D22" s="78">
        <v>173.11</v>
      </c>
      <c r="E22" s="78">
        <f>D22/D55*1000</f>
        <v>8.6274607525541995</v>
      </c>
      <c r="F22" s="78">
        <v>143.61000000000001</v>
      </c>
      <c r="G22" s="78">
        <f>F22/F55*1000</f>
        <v>8.6272978493331749</v>
      </c>
      <c r="H22" s="78">
        <v>24.55</v>
      </c>
      <c r="I22" s="78">
        <f>H22/H55*1000</f>
        <v>8.6291739894551842</v>
      </c>
      <c r="J22" s="78">
        <v>4.95</v>
      </c>
      <c r="K22" s="78">
        <f>J22/J55*1000</f>
        <v>8.6236933797909412</v>
      </c>
    </row>
    <row r="23" spans="2:11" ht="21.75" customHeight="1">
      <c r="B23" s="71" t="s">
        <v>119</v>
      </c>
      <c r="C23" s="69" t="s">
        <v>23</v>
      </c>
      <c r="D23" s="72">
        <v>9868.3700000000008</v>
      </c>
      <c r="E23" s="72">
        <f>D23/D55*1000</f>
        <v>491.82008472464497</v>
      </c>
      <c r="F23" s="72">
        <v>8186.8</v>
      </c>
      <c r="G23" s="72">
        <f>F23/F55*1000</f>
        <v>491.81785413913252</v>
      </c>
      <c r="H23" s="72">
        <v>1399.33</v>
      </c>
      <c r="I23" s="72">
        <f>H23/H55*1000</f>
        <v>491.85588752196833</v>
      </c>
      <c r="J23" s="72">
        <v>282.24</v>
      </c>
      <c r="K23" s="72">
        <f>J23/J55*1000</f>
        <v>491.70731707317071</v>
      </c>
    </row>
    <row r="24" spans="2:11" ht="21.75" customHeight="1">
      <c r="B24" s="71" t="s">
        <v>120</v>
      </c>
      <c r="C24" s="69" t="s">
        <v>121</v>
      </c>
      <c r="D24" s="72">
        <f>D25+D26+D27</f>
        <v>3071.63</v>
      </c>
      <c r="E24" s="72">
        <f t="shared" ref="E24:K24" si="2">E25+E26+E27</f>
        <v>153.08397707450783</v>
      </c>
      <c r="F24" s="72">
        <f>F25+F26+F27</f>
        <v>2548.2299999999996</v>
      </c>
      <c r="G24" s="72">
        <f t="shared" si="2"/>
        <v>153.08362369337979</v>
      </c>
      <c r="H24" s="72">
        <f>H25+H26+H27</f>
        <v>435.55</v>
      </c>
      <c r="I24" s="72">
        <f t="shared" si="2"/>
        <v>153.09314586994728</v>
      </c>
      <c r="J24" s="72">
        <f t="shared" si="2"/>
        <v>87.84</v>
      </c>
      <c r="K24" s="72">
        <f t="shared" si="2"/>
        <v>153.03135888501743</v>
      </c>
    </row>
    <row r="25" spans="2:11" ht="21.75" customHeight="1">
      <c r="B25" s="71" t="s">
        <v>122</v>
      </c>
      <c r="C25" s="25" t="s">
        <v>25</v>
      </c>
      <c r="D25" s="72">
        <v>2171.04</v>
      </c>
      <c r="E25" s="72">
        <f>D25/D55*1000</f>
        <v>108.2003488661849</v>
      </c>
      <c r="F25" s="72">
        <v>1801.1</v>
      </c>
      <c r="G25" s="72">
        <f>F25/F55*1000</f>
        <v>108.20016820857863</v>
      </c>
      <c r="H25" s="72">
        <v>307.85000000000002</v>
      </c>
      <c r="I25" s="72">
        <f>H25/H55*1000</f>
        <v>108.20738137082601</v>
      </c>
      <c r="J25" s="72">
        <v>62.09</v>
      </c>
      <c r="K25" s="72">
        <f>J25/J55*1000</f>
        <v>108.17073170731709</v>
      </c>
    </row>
    <row r="26" spans="2:11" ht="21.75" customHeight="1">
      <c r="B26" s="71" t="s">
        <v>123</v>
      </c>
      <c r="C26" s="25" t="s">
        <v>26</v>
      </c>
      <c r="D26" s="72">
        <v>781.59</v>
      </c>
      <c r="E26" s="72">
        <f>D26/D55*1000</f>
        <v>38.952903065038626</v>
      </c>
      <c r="F26" s="72">
        <v>648.41</v>
      </c>
      <c r="G26" s="72">
        <f>F26/F55*1000</f>
        <v>38.952901597981494</v>
      </c>
      <c r="H26" s="72">
        <v>110.83</v>
      </c>
      <c r="I26" s="72">
        <f>H26/H55*1000</f>
        <v>38.956063268892798</v>
      </c>
      <c r="J26" s="72">
        <v>22.35</v>
      </c>
      <c r="K26" s="72">
        <f>J26/J55*1000</f>
        <v>38.937282229965163</v>
      </c>
    </row>
    <row r="27" spans="2:11" ht="21.75" customHeight="1">
      <c r="B27" s="71" t="s">
        <v>124</v>
      </c>
      <c r="C27" s="25" t="s">
        <v>27</v>
      </c>
      <c r="D27" s="72">
        <v>119</v>
      </c>
      <c r="E27" s="72">
        <f>D27/D55*1000</f>
        <v>5.9307251432843255</v>
      </c>
      <c r="F27" s="72">
        <v>98.72</v>
      </c>
      <c r="G27" s="72">
        <f>F27/F55*1000</f>
        <v>5.9305538868196566</v>
      </c>
      <c r="H27" s="72">
        <v>16.87</v>
      </c>
      <c r="I27" s="72">
        <f>H27/H55*1000</f>
        <v>5.9297012302284715</v>
      </c>
      <c r="J27" s="72">
        <v>3.4</v>
      </c>
      <c r="K27" s="72">
        <f>J27/J55*1000</f>
        <v>5.9233449477351909</v>
      </c>
    </row>
    <row r="28" spans="2:11" ht="21.75" customHeight="1">
      <c r="B28" s="79" t="s">
        <v>28</v>
      </c>
      <c r="C28" s="69" t="s">
        <v>125</v>
      </c>
      <c r="D28" s="70">
        <f>D29+D30+D31</f>
        <v>5917.8499999999995</v>
      </c>
      <c r="E28" s="70">
        <f t="shared" ref="E28:K28" si="3">E29+E30+E31</f>
        <v>294.93396461500129</v>
      </c>
      <c r="F28" s="70">
        <f t="shared" si="3"/>
        <v>4909.45</v>
      </c>
      <c r="G28" s="70">
        <f t="shared" si="3"/>
        <v>294.932716568545</v>
      </c>
      <c r="H28" s="70">
        <f t="shared" si="3"/>
        <v>839.15112999999997</v>
      </c>
      <c r="I28" s="70">
        <f t="shared" si="3"/>
        <v>294.95646045694195</v>
      </c>
      <c r="J28" s="70">
        <f t="shared" si="3"/>
        <v>169.25050999999999</v>
      </c>
      <c r="K28" s="70">
        <f t="shared" si="3"/>
        <v>294.86151567944245</v>
      </c>
    </row>
    <row r="29" spans="2:11" ht="21.75" customHeight="1">
      <c r="B29" s="71" t="s">
        <v>126</v>
      </c>
      <c r="C29" s="25" t="s">
        <v>29</v>
      </c>
      <c r="D29" s="72">
        <v>4514.6099999999997</v>
      </c>
      <c r="E29" s="72">
        <f>D29/D55*1000</f>
        <v>224.99925242960379</v>
      </c>
      <c r="F29" s="72">
        <v>3745.32</v>
      </c>
      <c r="G29" s="72">
        <f>F29/F55*1000</f>
        <v>224.99819776522889</v>
      </c>
      <c r="H29" s="72">
        <f>D29*I9</f>
        <v>640.17169799999999</v>
      </c>
      <c r="I29" s="72">
        <f>H29/H55*1000</f>
        <v>225.01641405975394</v>
      </c>
      <c r="J29" s="72">
        <f>D29*K9</f>
        <v>129.11784599999999</v>
      </c>
      <c r="K29" s="72">
        <f>J29/J55*1000</f>
        <v>224.94398257839717</v>
      </c>
    </row>
    <row r="30" spans="2:11" ht="21.75" customHeight="1">
      <c r="B30" s="71" t="s">
        <v>95</v>
      </c>
      <c r="C30" s="25" t="s">
        <v>127</v>
      </c>
      <c r="D30" s="72">
        <v>993.21</v>
      </c>
      <c r="E30" s="72">
        <f>D30/D55*1000</f>
        <v>49.4996262148019</v>
      </c>
      <c r="F30" s="72">
        <v>823.97</v>
      </c>
      <c r="G30" s="72">
        <f>F30/F55*1000</f>
        <v>49.499579478553407</v>
      </c>
      <c r="H30" s="72">
        <f>D30*I9</f>
        <v>140.83717800000002</v>
      </c>
      <c r="I30" s="72">
        <f>H30/H55*1000</f>
        <v>49.503401757469248</v>
      </c>
      <c r="J30" s="72">
        <f>D30*K9</f>
        <v>28.405806000000002</v>
      </c>
      <c r="K30" s="72">
        <f>J30/J55*1000</f>
        <v>49.487466898954708</v>
      </c>
    </row>
    <row r="31" spans="2:11" ht="21.75" customHeight="1">
      <c r="B31" s="71" t="s">
        <v>128</v>
      </c>
      <c r="C31" s="25" t="s">
        <v>30</v>
      </c>
      <c r="D31" s="72">
        <v>410.03</v>
      </c>
      <c r="E31" s="72">
        <f>D31/D55*1000</f>
        <v>20.435085970595566</v>
      </c>
      <c r="F31" s="72">
        <v>340.16</v>
      </c>
      <c r="G31" s="72">
        <f>F31/F55*1000</f>
        <v>20.434939324762709</v>
      </c>
      <c r="H31" s="72">
        <f>D31*I9</f>
        <v>58.142254000000001</v>
      </c>
      <c r="I31" s="72">
        <f>H31/H55*1000</f>
        <v>20.436644639718807</v>
      </c>
      <c r="J31" s="72">
        <f>D31*K9</f>
        <v>11.726858</v>
      </c>
      <c r="K31" s="72">
        <f>J31/J55*1000</f>
        <v>20.43006620209059</v>
      </c>
    </row>
    <row r="32" spans="2:11" ht="21.75" customHeight="1">
      <c r="B32" s="71" t="s">
        <v>129</v>
      </c>
      <c r="C32" s="69" t="s">
        <v>130</v>
      </c>
      <c r="D32" s="70">
        <f>D33+D34+D35</f>
        <v>2100.9029999999998</v>
      </c>
      <c r="E32" s="70">
        <f t="shared" ref="E32:K32" si="4">E33+E34+E35</f>
        <v>104.70485920757538</v>
      </c>
      <c r="F32" s="70">
        <f t="shared" si="4"/>
        <v>1742.9091288</v>
      </c>
      <c r="G32" s="70">
        <f t="shared" si="4"/>
        <v>104.7043811606392</v>
      </c>
      <c r="H32" s="70">
        <f t="shared" si="4"/>
        <v>297.90804540000005</v>
      </c>
      <c r="I32" s="70">
        <f t="shared" si="4"/>
        <v>104.71284548330405</v>
      </c>
      <c r="J32" s="70">
        <f t="shared" si="4"/>
        <v>60.085825799999995</v>
      </c>
      <c r="K32" s="70">
        <f t="shared" si="4"/>
        <v>104.67913902439025</v>
      </c>
    </row>
    <row r="33" spans="2:11" ht="21.75" customHeight="1">
      <c r="B33" s="71" t="s">
        <v>131</v>
      </c>
      <c r="C33" s="25" t="s">
        <v>29</v>
      </c>
      <c r="D33" s="80">
        <v>1535.5029999999999</v>
      </c>
      <c r="E33" s="72">
        <f>D33/D55*1000</f>
        <v>76.52643907301271</v>
      </c>
      <c r="F33" s="72">
        <f>D33*G9</f>
        <v>1273.8532888</v>
      </c>
      <c r="G33" s="72">
        <f>F33/F55*1000</f>
        <v>76.526089679202215</v>
      </c>
      <c r="H33" s="72">
        <f>D33*I9</f>
        <v>217.73432540000002</v>
      </c>
      <c r="I33" s="72">
        <f>H33/H55*1000</f>
        <v>76.532276063268895</v>
      </c>
      <c r="J33" s="72">
        <f>D33*K9</f>
        <v>43.915385799999996</v>
      </c>
      <c r="K33" s="72">
        <f>J33/J55*1000</f>
        <v>76.507640766550523</v>
      </c>
    </row>
    <row r="34" spans="2:11" ht="21.75" customHeight="1">
      <c r="B34" s="71" t="s">
        <v>132</v>
      </c>
      <c r="C34" s="25" t="s">
        <v>127</v>
      </c>
      <c r="D34" s="72">
        <v>337.81</v>
      </c>
      <c r="E34" s="72">
        <f>D34/D55*1000</f>
        <v>16.835783702965362</v>
      </c>
      <c r="F34" s="72">
        <f>D34*G9</f>
        <v>280.24717600000002</v>
      </c>
      <c r="G34" s="72">
        <f>F34/F55*1000</f>
        <v>16.835706836477232</v>
      </c>
      <c r="H34" s="72">
        <f>D34*I9</f>
        <v>47.901458000000005</v>
      </c>
      <c r="I34" s="72">
        <f>H34/H55*1000</f>
        <v>16.837067838312834</v>
      </c>
      <c r="J34" s="72">
        <f>D34*K9</f>
        <v>9.661366000000001</v>
      </c>
      <c r="K34" s="72">
        <f>J34/J55*1000</f>
        <v>16.831648083623698</v>
      </c>
    </row>
    <row r="35" spans="2:11" ht="21.75" customHeight="1">
      <c r="B35" s="71" t="s">
        <v>133</v>
      </c>
      <c r="C35" s="25" t="s">
        <v>30</v>
      </c>
      <c r="D35" s="72">
        <v>227.59</v>
      </c>
      <c r="E35" s="72">
        <f>D35/D55*1000</f>
        <v>11.34263643159731</v>
      </c>
      <c r="F35" s="72">
        <f>D35*G9</f>
        <v>188.80866399999999</v>
      </c>
      <c r="G35" s="72">
        <f>F35/F55*1000</f>
        <v>11.34258464495975</v>
      </c>
      <c r="H35" s="72">
        <f>D35*I9</f>
        <v>32.272262000000005</v>
      </c>
      <c r="I35" s="72">
        <f>H35/H55*1000</f>
        <v>11.343501581722322</v>
      </c>
      <c r="J35" s="72">
        <f>D35*K9</f>
        <v>6.509074</v>
      </c>
      <c r="K35" s="72">
        <f>J35/J55*1000</f>
        <v>11.339850174216027</v>
      </c>
    </row>
    <row r="36" spans="2:11" ht="21.75" customHeight="1">
      <c r="B36" s="71" t="s">
        <v>134</v>
      </c>
      <c r="C36" s="69" t="s">
        <v>135</v>
      </c>
      <c r="D36" s="70">
        <f>D37+D38+D39+0.01</f>
        <v>1924.57</v>
      </c>
      <c r="E36" s="70">
        <f t="shared" ref="E36:K36" si="5">E37+E38+E39</f>
        <v>95.916272115624224</v>
      </c>
      <c r="F36" s="70">
        <f t="shared" si="5"/>
        <v>1596.6149759999998</v>
      </c>
      <c r="G36" s="70">
        <f t="shared" si="5"/>
        <v>95.885834194401056</v>
      </c>
      <c r="H36" s="70">
        <f t="shared" si="5"/>
        <v>273.452608</v>
      </c>
      <c r="I36" s="70">
        <f t="shared" si="5"/>
        <v>95.536909666080845</v>
      </c>
      <c r="J36" s="70">
        <f t="shared" si="5"/>
        <v>54.702415999999999</v>
      </c>
      <c r="K36" s="70">
        <f t="shared" si="5"/>
        <v>95.300376306620208</v>
      </c>
    </row>
    <row r="37" spans="2:11" ht="21.75" customHeight="1">
      <c r="B37" s="71" t="s">
        <v>136</v>
      </c>
      <c r="C37" s="25" t="s">
        <v>29</v>
      </c>
      <c r="D37" s="72">
        <v>1250.28</v>
      </c>
      <c r="E37" s="72">
        <f>D37/D55*1000</f>
        <v>62.311487665088464</v>
      </c>
      <c r="F37" s="72">
        <f>D37*G9</f>
        <v>1037.2322879999999</v>
      </c>
      <c r="G37" s="72">
        <f>F37/F55*1000</f>
        <v>62.311203171933194</v>
      </c>
      <c r="H37" s="72">
        <f>D37*I9</f>
        <v>177.289704</v>
      </c>
      <c r="I37" s="72">
        <f>H37/H55*1000</f>
        <v>62.316240421792614</v>
      </c>
      <c r="J37" s="72">
        <f>D37*K9</f>
        <v>35.758007999999997</v>
      </c>
      <c r="K37" s="72">
        <f>J37/J55*1000</f>
        <v>62.296181184668981</v>
      </c>
    </row>
    <row r="38" spans="2:11" ht="21.75" customHeight="1">
      <c r="B38" s="71" t="s">
        <v>137</v>
      </c>
      <c r="C38" s="25" t="s">
        <v>127</v>
      </c>
      <c r="D38" s="72">
        <v>275.06</v>
      </c>
      <c r="E38" s="72">
        <f>D38/D55*1000</f>
        <v>13.708447545477199</v>
      </c>
      <c r="F38" s="72">
        <f>D38*G9</f>
        <v>228.18977599999999</v>
      </c>
      <c r="G38" s="72">
        <f>F38/F55*1000</f>
        <v>13.708384957347111</v>
      </c>
      <c r="H38" s="72">
        <f>D38*I9</f>
        <v>39.003508000000004</v>
      </c>
      <c r="I38" s="72">
        <f>H38/H55*1000</f>
        <v>13.709493145869947</v>
      </c>
      <c r="J38" s="72">
        <f>D38*K9</f>
        <v>7.8667160000000003</v>
      </c>
      <c r="K38" s="72">
        <f>J38/J55*1000</f>
        <v>13.705080139372821</v>
      </c>
    </row>
    <row r="39" spans="2:11" ht="21.75" customHeight="1">
      <c r="B39" s="71" t="s">
        <v>138</v>
      </c>
      <c r="C39" s="25" t="s">
        <v>30</v>
      </c>
      <c r="D39" s="72">
        <v>399.22</v>
      </c>
      <c r="E39" s="72">
        <f>D39/D55*1000</f>
        <v>19.896336905058561</v>
      </c>
      <c r="F39" s="72">
        <f>D39*G9</f>
        <v>331.19291200000004</v>
      </c>
      <c r="G39" s="72">
        <f>F39/F55*1000-0.03</f>
        <v>19.866246065120752</v>
      </c>
      <c r="H39" s="72">
        <f>D39*I9+0.55</f>
        <v>57.159396000000008</v>
      </c>
      <c r="I39" s="72">
        <f>H39/H55*1000-0.58</f>
        <v>19.511176098418282</v>
      </c>
      <c r="J39" s="72">
        <f>D39*K9-0.2-0.14</f>
        <v>11.077692000000001</v>
      </c>
      <c r="K39" s="72">
        <f>J39/J55*1000</f>
        <v>19.299114982578399</v>
      </c>
    </row>
    <row r="40" spans="2:11" ht="21.75" customHeight="1">
      <c r="B40" s="71" t="s">
        <v>139</v>
      </c>
      <c r="C40" s="69" t="s">
        <v>140</v>
      </c>
      <c r="D40" s="70">
        <v>0</v>
      </c>
      <c r="E40" s="70">
        <f>D40/D55*1000</f>
        <v>0</v>
      </c>
      <c r="F40" s="70">
        <v>0</v>
      </c>
      <c r="G40" s="70">
        <v>0</v>
      </c>
      <c r="H40" s="70">
        <f>D40*I9</f>
        <v>0</v>
      </c>
      <c r="I40" s="70">
        <f>H40/H55*1000</f>
        <v>0</v>
      </c>
      <c r="J40" s="70">
        <f>D40*K9</f>
        <v>0</v>
      </c>
      <c r="K40" s="70">
        <f>J40/J55*1000</f>
        <v>0</v>
      </c>
    </row>
    <row r="41" spans="2:11" ht="21.75" customHeight="1">
      <c r="B41" s="71" t="s">
        <v>141</v>
      </c>
      <c r="C41" s="69" t="s">
        <v>37</v>
      </c>
      <c r="D41" s="31">
        <v>0</v>
      </c>
      <c r="E41" s="31">
        <v>0</v>
      </c>
      <c r="F41" s="31">
        <v>0</v>
      </c>
      <c r="G41" s="31">
        <v>0</v>
      </c>
      <c r="H41" s="31">
        <v>0</v>
      </c>
      <c r="I41" s="31">
        <v>0</v>
      </c>
      <c r="J41" s="31">
        <v>0</v>
      </c>
      <c r="K41" s="31">
        <v>0</v>
      </c>
    </row>
    <row r="42" spans="2:11" ht="21.75" customHeight="1">
      <c r="B42" s="71" t="s">
        <v>142</v>
      </c>
      <c r="C42" s="69" t="s">
        <v>143</v>
      </c>
      <c r="D42" s="70">
        <f>F42+H42+J42</f>
        <v>56081.364639999993</v>
      </c>
      <c r="E42" s="70">
        <f>D42/D55*1000</f>
        <v>2794.9845322701217</v>
      </c>
      <c r="F42" s="70">
        <f>F15+F32+F36+F40+F41+0.03</f>
        <v>45356.864104799992</v>
      </c>
      <c r="G42" s="70">
        <f>G15+G32+G36+G40+G41+0.03</f>
        <v>2724.788784380632</v>
      </c>
      <c r="H42" s="70">
        <f>H15+H32+H36+H40+H41-0.67+0.01</f>
        <v>8448.7517834000009</v>
      </c>
      <c r="I42" s="70">
        <f>I15+I32+I36+I40+I41+0.35</f>
        <v>2969.6862683304043</v>
      </c>
      <c r="J42" s="70">
        <f>J15+J32+J36+J40+J41+0.42</f>
        <v>2275.7487518000003</v>
      </c>
      <c r="K42" s="70">
        <f>K15+K32+K36+K40+K41+0.73</f>
        <v>3964.7173724738677</v>
      </c>
    </row>
    <row r="43" spans="2:11" ht="21.75" customHeight="1">
      <c r="B43" s="71" t="s">
        <v>144</v>
      </c>
      <c r="C43" s="69" t="s">
        <v>145</v>
      </c>
      <c r="D43" s="31">
        <v>0</v>
      </c>
      <c r="E43" s="31">
        <v>0</v>
      </c>
      <c r="F43" s="31">
        <v>0</v>
      </c>
      <c r="G43" s="31">
        <v>0</v>
      </c>
      <c r="H43" s="31">
        <v>0</v>
      </c>
      <c r="I43" s="31">
        <v>0</v>
      </c>
      <c r="J43" s="31">
        <v>0</v>
      </c>
      <c r="K43" s="31">
        <v>0</v>
      </c>
    </row>
    <row r="44" spans="2:11" ht="21.75" customHeight="1">
      <c r="B44" s="71" t="s">
        <v>146</v>
      </c>
      <c r="C44" s="69" t="s">
        <v>147</v>
      </c>
      <c r="D44" s="70">
        <v>2243.25</v>
      </c>
      <c r="E44" s="70">
        <f>D44/D55*1000</f>
        <v>111.79915275355096</v>
      </c>
      <c r="F44" s="70">
        <v>1814.27</v>
      </c>
      <c r="G44" s="70">
        <f>F44/F55*1000</f>
        <v>108.99134927309865</v>
      </c>
      <c r="H44" s="70">
        <v>337.95</v>
      </c>
      <c r="I44" s="70">
        <f>H44/H55*1000</f>
        <v>118.78734622144111</v>
      </c>
      <c r="J44" s="70">
        <v>91.03</v>
      </c>
      <c r="K44" s="70">
        <f>J44/J55*1000</f>
        <v>158.58885017421602</v>
      </c>
    </row>
    <row r="45" spans="2:11" ht="21.75" customHeight="1">
      <c r="B45" s="71" t="s">
        <v>148</v>
      </c>
      <c r="C45" s="81" t="s">
        <v>39</v>
      </c>
      <c r="D45" s="72">
        <v>403.79</v>
      </c>
      <c r="E45" s="72">
        <v>20.12</v>
      </c>
      <c r="F45" s="72">
        <f t="shared" ref="F45:K45" si="6">F44*0.18</f>
        <v>326.5686</v>
      </c>
      <c r="G45" s="72">
        <f t="shared" si="6"/>
        <v>19.618442869157757</v>
      </c>
      <c r="H45" s="72">
        <f t="shared" si="6"/>
        <v>60.830999999999996</v>
      </c>
      <c r="I45" s="72">
        <f t="shared" si="6"/>
        <v>21.381722319859399</v>
      </c>
      <c r="J45" s="72">
        <f t="shared" si="6"/>
        <v>16.385400000000001</v>
      </c>
      <c r="K45" s="72">
        <f t="shared" si="6"/>
        <v>28.545993031358883</v>
      </c>
    </row>
    <row r="46" spans="2:11" ht="21.75" customHeight="1">
      <c r="B46" s="71" t="s">
        <v>149</v>
      </c>
      <c r="C46" s="81" t="s">
        <v>150</v>
      </c>
      <c r="D46" s="68">
        <v>0</v>
      </c>
      <c r="E46" s="68">
        <v>0</v>
      </c>
      <c r="F46" s="68">
        <v>0</v>
      </c>
      <c r="G46" s="68">
        <v>0</v>
      </c>
      <c r="H46" s="68">
        <v>0</v>
      </c>
      <c r="I46" s="68">
        <v>0</v>
      </c>
      <c r="J46" s="68">
        <v>0</v>
      </c>
      <c r="K46" s="68">
        <v>0</v>
      </c>
    </row>
    <row r="47" spans="2:11" ht="13.5" customHeight="1">
      <c r="B47" s="74" t="s">
        <v>89</v>
      </c>
      <c r="C47" s="82" t="s">
        <v>151</v>
      </c>
      <c r="D47" s="29"/>
      <c r="E47" s="29"/>
      <c r="F47" s="29"/>
      <c r="G47" s="29"/>
      <c r="H47" s="29"/>
      <c r="I47" s="29"/>
      <c r="J47" s="29"/>
      <c r="K47" s="29"/>
    </row>
    <row r="48" spans="2:11" ht="13.5" customHeight="1">
      <c r="B48" s="77"/>
      <c r="C48" s="83" t="s">
        <v>152</v>
      </c>
      <c r="D48" s="78">
        <f>[1]транспортування!H68</f>
        <v>0</v>
      </c>
      <c r="E48" s="78">
        <f>D48/D55*1000</f>
        <v>0</v>
      </c>
      <c r="F48" s="78">
        <f>D48*G9</f>
        <v>0</v>
      </c>
      <c r="G48" s="78">
        <f>F48/F55*1000</f>
        <v>0</v>
      </c>
      <c r="H48" s="78">
        <f>D48*I9</f>
        <v>0</v>
      </c>
      <c r="I48" s="78">
        <f>H48/H55*1000</f>
        <v>0</v>
      </c>
      <c r="J48" s="78">
        <f>D48*K9</f>
        <v>0</v>
      </c>
      <c r="K48" s="78">
        <f>J48/J55*1000</f>
        <v>0</v>
      </c>
    </row>
    <row r="49" spans="2:11" ht="21.75" customHeight="1">
      <c r="B49" s="71" t="s">
        <v>91</v>
      </c>
      <c r="C49" s="81" t="s">
        <v>41</v>
      </c>
      <c r="D49" s="72">
        <v>1839.47</v>
      </c>
      <c r="E49" s="72">
        <v>91.68</v>
      </c>
      <c r="F49" s="72">
        <f t="shared" ref="F49:K49" si="7">F44-F45</f>
        <v>1487.7013999999999</v>
      </c>
      <c r="G49" s="72">
        <f t="shared" si="7"/>
        <v>89.372906403940888</v>
      </c>
      <c r="H49" s="72">
        <f t="shared" si="7"/>
        <v>277.11899999999997</v>
      </c>
      <c r="I49" s="72">
        <f t="shared" si="7"/>
        <v>97.40562390158172</v>
      </c>
      <c r="J49" s="72">
        <f t="shared" si="7"/>
        <v>74.644599999999997</v>
      </c>
      <c r="K49" s="72">
        <f t="shared" si="7"/>
        <v>130.04285714285714</v>
      </c>
    </row>
    <row r="50" spans="2:11" ht="15" customHeight="1">
      <c r="B50" s="74" t="s">
        <v>153</v>
      </c>
      <c r="C50" s="84" t="s">
        <v>154</v>
      </c>
      <c r="D50" s="29"/>
      <c r="E50" s="29"/>
      <c r="F50" s="29"/>
      <c r="G50" s="29"/>
      <c r="H50" s="29"/>
      <c r="I50" s="29"/>
      <c r="J50" s="29"/>
      <c r="K50" s="29"/>
    </row>
    <row r="51" spans="2:11" ht="19.5" customHeight="1">
      <c r="B51" s="77"/>
      <c r="C51" s="85" t="s">
        <v>155</v>
      </c>
      <c r="D51" s="86">
        <v>58321.62</v>
      </c>
      <c r="E51" s="86">
        <f>D51/D55*1000</f>
        <v>2906.6344380762521</v>
      </c>
      <c r="F51" s="86">
        <f>F42+F44+0.02</f>
        <v>47171.154104799985</v>
      </c>
      <c r="G51" s="86">
        <f t="shared" ref="G51:J51" si="8">G42+G44</f>
        <v>2833.7801336537304</v>
      </c>
      <c r="H51" s="86">
        <f>H42+H44-0.01</f>
        <v>8786.6917834000014</v>
      </c>
      <c r="I51" s="86">
        <f>I42+I44-0.01</f>
        <v>3088.4636145518452</v>
      </c>
      <c r="J51" s="86">
        <f t="shared" si="8"/>
        <v>2366.7787518000005</v>
      </c>
      <c r="K51" s="86">
        <f>K42+K44+0.01</f>
        <v>4123.3162226480836</v>
      </c>
    </row>
    <row r="52" spans="2:11">
      <c r="B52" s="71" t="s">
        <v>156</v>
      </c>
      <c r="C52" s="69" t="s">
        <v>157</v>
      </c>
      <c r="D52" s="70">
        <f>D51/D55*1000</f>
        <v>2906.6344380762521</v>
      </c>
      <c r="E52" s="70"/>
      <c r="F52" s="70">
        <f>F51/F55*1000</f>
        <v>2833.7831373783483</v>
      </c>
      <c r="G52" s="70"/>
      <c r="H52" s="70">
        <f>H51/H55*1000</f>
        <v>3088.468113673111</v>
      </c>
      <c r="I52" s="70"/>
      <c r="J52" s="70">
        <f>J51/J55*1000</f>
        <v>4123.3079299651581</v>
      </c>
      <c r="K52" s="70"/>
    </row>
    <row r="53" spans="2:11">
      <c r="B53" s="71" t="s">
        <v>158</v>
      </c>
      <c r="C53" s="69" t="s">
        <v>159</v>
      </c>
      <c r="D53" s="70">
        <f>D17*100/D42</f>
        <v>39.211795471031181</v>
      </c>
      <c r="E53" s="70"/>
      <c r="F53" s="70">
        <f>F17*100/F42</f>
        <v>37.646010889436674</v>
      </c>
      <c r="G53" s="70"/>
      <c r="H53" s="70">
        <f>H17*100/H51</f>
        <v>41.139374056902</v>
      </c>
      <c r="I53" s="70"/>
      <c r="J53" s="70">
        <f>J17*100/J42</f>
        <v>57.153497237831587</v>
      </c>
      <c r="K53" s="70"/>
    </row>
    <row r="54" spans="2:11">
      <c r="B54" s="71" t="s">
        <v>160</v>
      </c>
      <c r="C54" s="69" t="s">
        <v>161</v>
      </c>
      <c r="D54" s="70">
        <f>100-D53</f>
        <v>60.788204528968819</v>
      </c>
      <c r="E54" s="70"/>
      <c r="F54" s="70">
        <f>100-F53</f>
        <v>62.353989110563326</v>
      </c>
      <c r="G54" s="70"/>
      <c r="H54" s="70">
        <f>100-H53</f>
        <v>58.860625943098</v>
      </c>
      <c r="I54" s="70"/>
      <c r="J54" s="70">
        <f>100-J53</f>
        <v>42.846502762168413</v>
      </c>
      <c r="K54" s="70"/>
    </row>
    <row r="55" spans="2:11">
      <c r="B55" s="71" t="s">
        <v>162</v>
      </c>
      <c r="C55" s="69" t="s">
        <v>163</v>
      </c>
      <c r="D55" s="31">
        <v>20065</v>
      </c>
      <c r="E55" s="31"/>
      <c r="F55" s="31">
        <v>16646</v>
      </c>
      <c r="G55" s="31"/>
      <c r="H55" s="31">
        <v>2845</v>
      </c>
      <c r="I55" s="31"/>
      <c r="J55" s="31">
        <v>574</v>
      </c>
      <c r="K55" s="31"/>
    </row>
    <row r="56" spans="2:11">
      <c r="B56" s="71" t="s">
        <v>164</v>
      </c>
      <c r="C56" s="69" t="s">
        <v>165</v>
      </c>
      <c r="D56" s="89">
        <f t="shared" ref="D56:E56" si="9">D51/D42*100-100</f>
        <v>3.9946520103081582</v>
      </c>
      <c r="E56" s="89">
        <f t="shared" si="9"/>
        <v>3.9946520103081582</v>
      </c>
      <c r="F56" s="31">
        <v>4</v>
      </c>
      <c r="G56" s="31">
        <v>4</v>
      </c>
      <c r="H56" s="31">
        <v>4</v>
      </c>
      <c r="I56" s="31">
        <v>4</v>
      </c>
      <c r="J56" s="31">
        <v>4</v>
      </c>
      <c r="K56" s="31">
        <v>4</v>
      </c>
    </row>
    <row r="57" spans="2:11">
      <c r="B57" s="87"/>
    </row>
    <row r="58" spans="2:11">
      <c r="B58" s="88"/>
      <c r="C58" s="21" t="s">
        <v>11</v>
      </c>
      <c r="D58" s="21"/>
      <c r="E58" s="21"/>
      <c r="F58" s="21"/>
      <c r="G58" s="21"/>
      <c r="H58" s="103" t="s">
        <v>14</v>
      </c>
      <c r="I58" s="103"/>
    </row>
    <row r="59" spans="2:11">
      <c r="B59" s="87"/>
    </row>
    <row r="60" spans="2:11">
      <c r="B60" s="87"/>
    </row>
    <row r="61" spans="2:11">
      <c r="B61" s="87"/>
    </row>
    <row r="62" spans="2:11">
      <c r="B62" s="87"/>
    </row>
  </sheetData>
  <mergeCells count="10">
    <mergeCell ref="J11:K11"/>
    <mergeCell ref="H58:I58"/>
    <mergeCell ref="I1:J1"/>
    <mergeCell ref="D10:E10"/>
    <mergeCell ref="F10:G10"/>
    <mergeCell ref="H10:I10"/>
    <mergeCell ref="J10:K10"/>
    <mergeCell ref="D11:E11"/>
    <mergeCell ref="F11:G11"/>
    <mergeCell ref="H11:I11"/>
  </mergeCells>
  <pageMargins left="0.70866141732283472" right="0.70866141732283472" top="0.74803149606299213" bottom="0.74803149606299213" header="0.31496062992125984" footer="0.31496062992125984"/>
  <pageSetup paperSize="9" scale="7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Додаток 1</vt:lpstr>
      <vt:lpstr>Додаток 2</vt:lpstr>
      <vt:lpstr>Додаток 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Lena</cp:lastModifiedBy>
  <cp:lastPrinted>2024-10-15T11:49:43Z</cp:lastPrinted>
  <dcterms:created xsi:type="dcterms:W3CDTF">2021-11-16T13:51:31Z</dcterms:created>
  <dcterms:modified xsi:type="dcterms:W3CDTF">2024-10-16T06:17:50Z</dcterms:modified>
</cp:coreProperties>
</file>