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330"/>
  </bookViews>
  <sheets>
    <sheet name="Лист1" sheetId="1" r:id="rId1"/>
  </sheets>
  <externalReferences>
    <externalReference r:id="rId2"/>
  </externalReferences>
  <definedNames>
    <definedName name="_xlnm.Print_Area" localSheetId="0">Лист1!$B$9:$K$66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55" i="1" l="1"/>
  <c r="I55" i="1"/>
  <c r="G55" i="1"/>
  <c r="D20" i="1"/>
  <c r="F30" i="1" l="1"/>
  <c r="F29" i="1"/>
  <c r="F22" i="1"/>
  <c r="D52" i="1" l="1"/>
  <c r="J52" i="1" s="1"/>
  <c r="K52" i="1" s="1"/>
  <c r="J49" i="1"/>
  <c r="J53" i="1" s="1"/>
  <c r="H49" i="1"/>
  <c r="H53" i="1" s="1"/>
  <c r="F49" i="1"/>
  <c r="F53" i="1" s="1"/>
  <c r="K48" i="1"/>
  <c r="K49" i="1" s="1"/>
  <c r="K53" i="1" s="1"/>
  <c r="I48" i="1"/>
  <c r="G48" i="1"/>
  <c r="G49" i="1" s="1"/>
  <c r="D44" i="1"/>
  <c r="J44" i="1" s="1"/>
  <c r="K44" i="1" s="1"/>
  <c r="D43" i="1"/>
  <c r="H43" i="1" s="1"/>
  <c r="I43" i="1" s="1"/>
  <c r="D42" i="1"/>
  <c r="D41" i="1"/>
  <c r="H41" i="1" s="1"/>
  <c r="I41" i="1" s="1"/>
  <c r="D39" i="1"/>
  <c r="D38" i="1"/>
  <c r="H38" i="1" s="1"/>
  <c r="I38" i="1" s="1"/>
  <c r="D37" i="1"/>
  <c r="H37" i="1" s="1"/>
  <c r="I37" i="1" s="1"/>
  <c r="D35" i="1"/>
  <c r="D34" i="1"/>
  <c r="D33" i="1"/>
  <c r="J33" i="1" s="1"/>
  <c r="E31" i="1"/>
  <c r="H30" i="1"/>
  <c r="I30" i="1" s="1"/>
  <c r="H27" i="1"/>
  <c r="I27" i="1" s="1"/>
  <c r="J26" i="1"/>
  <c r="K26" i="1" s="1"/>
  <c r="H26" i="1"/>
  <c r="I26" i="1" s="1"/>
  <c r="E26" i="1"/>
  <c r="J24" i="1"/>
  <c r="K24" i="1" s="1"/>
  <c r="H22" i="1"/>
  <c r="I22" i="1" s="1"/>
  <c r="J21" i="1"/>
  <c r="H21" i="1"/>
  <c r="F21" i="1"/>
  <c r="H34" i="1" l="1"/>
  <c r="I34" i="1" s="1"/>
  <c r="J34" i="1"/>
  <c r="K34" i="1" s="1"/>
  <c r="F43" i="1"/>
  <c r="G43" i="1" s="1"/>
  <c r="J35" i="1"/>
  <c r="H35" i="1"/>
  <c r="I35" i="1" s="1"/>
  <c r="E38" i="1"/>
  <c r="F38" i="1"/>
  <c r="G38" i="1" s="1"/>
  <c r="E27" i="1"/>
  <c r="J29" i="1"/>
  <c r="K29" i="1" s="1"/>
  <c r="J31" i="1"/>
  <c r="K31" i="1" s="1"/>
  <c r="E37" i="1"/>
  <c r="J43" i="1"/>
  <c r="K43" i="1" s="1"/>
  <c r="F31" i="1"/>
  <c r="G31" i="1" s="1"/>
  <c r="E22" i="1"/>
  <c r="J38" i="1"/>
  <c r="K38" i="1" s="1"/>
  <c r="E41" i="1"/>
  <c r="E43" i="1"/>
  <c r="E48" i="1"/>
  <c r="E49" i="1" s="1"/>
  <c r="D49" i="1"/>
  <c r="D53" i="1" s="1"/>
  <c r="I49" i="1"/>
  <c r="I53" i="1" s="1"/>
  <c r="I21" i="1"/>
  <c r="D36" i="1"/>
  <c r="J39" i="1"/>
  <c r="K39" i="1" s="1"/>
  <c r="F39" i="1"/>
  <c r="E39" i="1"/>
  <c r="J42" i="1"/>
  <c r="K42" i="1" s="1"/>
  <c r="F42" i="1"/>
  <c r="E42" i="1"/>
  <c r="G21" i="1"/>
  <c r="E24" i="1"/>
  <c r="J30" i="1"/>
  <c r="K30" i="1" s="1"/>
  <c r="E30" i="1"/>
  <c r="G34" i="1"/>
  <c r="K21" i="1"/>
  <c r="F24" i="1"/>
  <c r="E21" i="1"/>
  <c r="D19" i="1"/>
  <c r="H24" i="1"/>
  <c r="I24" i="1" s="1"/>
  <c r="F26" i="1"/>
  <c r="G29" i="1"/>
  <c r="K35" i="1"/>
  <c r="E35" i="1"/>
  <c r="H39" i="1"/>
  <c r="I39" i="1" s="1"/>
  <c r="I36" i="1" s="1"/>
  <c r="H42" i="1"/>
  <c r="I42" i="1" s="1"/>
  <c r="I40" i="1" s="1"/>
  <c r="H44" i="1"/>
  <c r="E44" i="1"/>
  <c r="H52" i="1"/>
  <c r="I52" i="1" s="1"/>
  <c r="G53" i="1"/>
  <c r="J22" i="1"/>
  <c r="K22" i="1" s="1"/>
  <c r="F27" i="1"/>
  <c r="J27" i="1"/>
  <c r="K27" i="1" s="1"/>
  <c r="F37" i="1"/>
  <c r="J37" i="1"/>
  <c r="D40" i="1"/>
  <c r="F41" i="1"/>
  <c r="J41" i="1"/>
  <c r="E52" i="1"/>
  <c r="F52" i="1"/>
  <c r="G52" i="1" s="1"/>
  <c r="H29" i="1"/>
  <c r="H31" i="1"/>
  <c r="I31" i="1" s="1"/>
  <c r="E29" i="1"/>
  <c r="E40" i="1" l="1"/>
  <c r="D46" i="1"/>
  <c r="D55" i="1" s="1"/>
  <c r="E36" i="1"/>
  <c r="H36" i="1"/>
  <c r="J20" i="1"/>
  <c r="E20" i="1"/>
  <c r="E28" i="1"/>
  <c r="I29" i="1"/>
  <c r="I28" i="1" s="1"/>
  <c r="H28" i="1"/>
  <c r="K37" i="1"/>
  <c r="K36" i="1" s="1"/>
  <c r="J36" i="1"/>
  <c r="G27" i="1"/>
  <c r="G39" i="1"/>
  <c r="G33" i="1"/>
  <c r="F32" i="1"/>
  <c r="G37" i="1"/>
  <c r="F36" i="1"/>
  <c r="G24" i="1"/>
  <c r="G42" i="1"/>
  <c r="K33" i="1"/>
  <c r="K32" i="1" s="1"/>
  <c r="J32" i="1"/>
  <c r="G22" i="1"/>
  <c r="H40" i="1"/>
  <c r="K28" i="1"/>
  <c r="E32" i="1"/>
  <c r="J40" i="1"/>
  <c r="K41" i="1"/>
  <c r="K40" i="1" s="1"/>
  <c r="H32" i="1"/>
  <c r="I33" i="1"/>
  <c r="I32" i="1" s="1"/>
  <c r="H20" i="1"/>
  <c r="F40" i="1"/>
  <c r="G41" i="1"/>
  <c r="G30" i="1"/>
  <c r="G28" i="1" s="1"/>
  <c r="F20" i="1"/>
  <c r="I20" i="1"/>
  <c r="F28" i="1"/>
  <c r="K20" i="1"/>
  <c r="I44" i="1"/>
  <c r="G35" i="1"/>
  <c r="G26" i="1"/>
  <c r="J28" i="1"/>
  <c r="J19" i="1" s="1"/>
  <c r="E53" i="1"/>
  <c r="I19" i="1" l="1"/>
  <c r="I46" i="1" s="1"/>
  <c r="E19" i="1"/>
  <c r="G36" i="1"/>
  <c r="G20" i="1"/>
  <c r="G32" i="1"/>
  <c r="H19" i="1"/>
  <c r="H46" i="1" s="1"/>
  <c r="J46" i="1"/>
  <c r="G40" i="1"/>
  <c r="F19" i="1"/>
  <c r="K19" i="1"/>
  <c r="K46" i="1" s="1"/>
  <c r="G19" i="1" l="1"/>
  <c r="G46" i="1" s="1"/>
  <c r="F46" i="1"/>
  <c r="F55" i="1" s="1"/>
  <c r="J55" i="1"/>
  <c r="J56" i="1" s="1"/>
  <c r="J57" i="1"/>
  <c r="J58" i="1" s="1"/>
  <c r="H55" i="1"/>
  <c r="F57" i="1" l="1"/>
  <c r="F58" i="1" s="1"/>
  <c r="H56" i="1"/>
  <c r="H57" i="1"/>
  <c r="H58" i="1" s="1"/>
  <c r="E55" i="1"/>
  <c r="D57" i="1"/>
  <c r="D58" i="1" s="1"/>
  <c r="F56" i="1"/>
  <c r="D56" i="1" l="1"/>
</calcChain>
</file>

<file path=xl/sharedStrings.xml><?xml version="1.0" encoding="utf-8"?>
<sst xmlns="http://schemas.openxmlformats.org/spreadsheetml/2006/main" count="112" uniqueCount="95">
  <si>
    <t xml:space="preserve">Структура </t>
  </si>
  <si>
    <t>тарифів на теплову енергію на опалювальний період 2025-2026 років</t>
  </si>
  <si>
    <t>по КП " БГВУЖКГ"</t>
  </si>
  <si>
    <t>(без ПДВ)</t>
  </si>
  <si>
    <t>№ з/п</t>
  </si>
  <si>
    <t>Сумарні та середньо-</t>
  </si>
  <si>
    <t>Для потреб</t>
  </si>
  <si>
    <t>Найменування  показників</t>
  </si>
  <si>
    <t>зважені показники</t>
  </si>
  <si>
    <t>населення</t>
  </si>
  <si>
    <t>бюджетних установ</t>
  </si>
  <si>
    <t>інших споживачів</t>
  </si>
  <si>
    <t>тис.грн на</t>
  </si>
  <si>
    <t>рік</t>
  </si>
  <si>
    <t>грн/Гкал</t>
  </si>
  <si>
    <t>1.</t>
  </si>
  <si>
    <t>Виробнича собівартість,у т.ч.:</t>
  </si>
  <si>
    <t>1.1</t>
  </si>
  <si>
    <t>прямі матеріальні витрати, у т.ч.:</t>
  </si>
  <si>
    <t xml:space="preserve">1.1.1 </t>
  </si>
  <si>
    <t>витрати на паливо</t>
  </si>
  <si>
    <t>1.1.2</t>
  </si>
  <si>
    <t>витрати на електроенергію</t>
  </si>
  <si>
    <t>1.1.3</t>
  </si>
  <si>
    <t>вода для технологічних потреб</t>
  </si>
  <si>
    <t>та водовідведення</t>
  </si>
  <si>
    <t>1.1.4</t>
  </si>
  <si>
    <t>матеріали,запасні частини та інші</t>
  </si>
  <si>
    <t>матеріальні ресурси</t>
  </si>
  <si>
    <t>1.2</t>
  </si>
  <si>
    <t>прямі витрати на оплату праці</t>
  </si>
  <si>
    <t>1.3</t>
  </si>
  <si>
    <t>інші прямі витрати, у т.ч.</t>
  </si>
  <si>
    <t>1.3.1</t>
  </si>
  <si>
    <t>відрахування на соціальні заходи</t>
  </si>
  <si>
    <t>1.3.2</t>
  </si>
  <si>
    <t>амортизаційні відрахування</t>
  </si>
  <si>
    <t>1.3.3</t>
  </si>
  <si>
    <t>інші прямі витрати</t>
  </si>
  <si>
    <t>1.4</t>
  </si>
  <si>
    <t>Загальновиробничі витрати, у т.ч.</t>
  </si>
  <si>
    <t>1.4.1</t>
  </si>
  <si>
    <t>витрати на оплату праці</t>
  </si>
  <si>
    <t>1.4.2</t>
  </si>
  <si>
    <t>витрати на соціальні заходи</t>
  </si>
  <si>
    <t>1.4.3</t>
  </si>
  <si>
    <t>інші витрати</t>
  </si>
  <si>
    <t>2</t>
  </si>
  <si>
    <t>Адміністративні витрати, у т.ч.</t>
  </si>
  <si>
    <t>2.1</t>
  </si>
  <si>
    <t>2.2</t>
  </si>
  <si>
    <t>2.3</t>
  </si>
  <si>
    <t>3</t>
  </si>
  <si>
    <t>Витрати на збут, у т.ч.</t>
  </si>
  <si>
    <t>3.1</t>
  </si>
  <si>
    <t>3.2</t>
  </si>
  <si>
    <t>3.3</t>
  </si>
  <si>
    <t>4</t>
  </si>
  <si>
    <t>Інші операційні витрати</t>
  </si>
  <si>
    <t>5</t>
  </si>
  <si>
    <t>Фінансові витрати</t>
  </si>
  <si>
    <t>6</t>
  </si>
  <si>
    <t>Повна собівартість</t>
  </si>
  <si>
    <t>7</t>
  </si>
  <si>
    <t>Витрати на покриття втрат</t>
  </si>
  <si>
    <t>8</t>
  </si>
  <si>
    <t>Розрахунковий прибуток, у т.ч.</t>
  </si>
  <si>
    <t>8.1</t>
  </si>
  <si>
    <t>податок на прибуток</t>
  </si>
  <si>
    <t>8.2</t>
  </si>
  <si>
    <t>резервний фонд(капітал) та дивіденди</t>
  </si>
  <si>
    <t>8.3</t>
  </si>
  <si>
    <t>на розвиток виробництва(виробничі</t>
  </si>
  <si>
    <t>інвестиції)</t>
  </si>
  <si>
    <t>8.4</t>
  </si>
  <si>
    <t>інше використання прибутку</t>
  </si>
  <si>
    <t>9</t>
  </si>
  <si>
    <t>Вартість теплової енергії за відповідними</t>
  </si>
  <si>
    <t>тарифами</t>
  </si>
  <si>
    <t>10</t>
  </si>
  <si>
    <t>Тарифи на теплову енергію, грн/Гкал</t>
  </si>
  <si>
    <t>11</t>
  </si>
  <si>
    <t>Паливна складова у %%</t>
  </si>
  <si>
    <t>12</t>
  </si>
  <si>
    <t>Решта витрат,крім паливної складової %%</t>
  </si>
  <si>
    <t>13</t>
  </si>
  <si>
    <t>Обсяг реалізації теплової енергії, Гкал</t>
  </si>
  <si>
    <t>14</t>
  </si>
  <si>
    <t>Рівень рентабельності,%</t>
  </si>
  <si>
    <t>До рішення виконавчого комітету</t>
  </si>
  <si>
    <t>Боярської міської ради</t>
  </si>
  <si>
    <t xml:space="preserve">від      серпня   2025 № </t>
  </si>
  <si>
    <t>Додаток  3</t>
  </si>
  <si>
    <t>Керуюча справами</t>
  </si>
  <si>
    <t>Ганна САЛАМАТІНА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</si>
</sst>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2" fillId="0" borderId="0" xfId="0" applyFont="1"/>
    <xf numFmtId="10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5" xfId="0" applyBorder="1"/>
    <xf numFmtId="0" fontId="0" fillId="0" borderId="9" xfId="0" applyBorder="1"/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8" xfId="0" applyBorder="1"/>
    <xf numFmtId="0" fontId="0" fillId="0" borderId="10" xfId="0" applyBorder="1"/>
    <xf numFmtId="0" fontId="0" fillId="0" borderId="7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11" xfId="0" applyFont="1" applyBorder="1"/>
    <xf numFmtId="2" fontId="1" fillId="0" borderId="11" xfId="0" applyNumberFormat="1" applyFont="1" applyBorder="1" applyAlignment="1">
      <alignment horizontal="center"/>
    </xf>
    <xf numFmtId="49" fontId="0" fillId="0" borderId="11" xfId="0" applyNumberFormat="1" applyBorder="1" applyAlignment="1">
      <alignment horizontal="center"/>
    </xf>
    <xf numFmtId="2" fontId="0" fillId="0" borderId="11" xfId="0" applyNumberFormat="1" applyBorder="1" applyAlignment="1">
      <alignment horizontal="center"/>
    </xf>
    <xf numFmtId="2" fontId="0" fillId="0" borderId="11" xfId="0" applyNumberFormat="1" applyFont="1" applyBorder="1" applyAlignment="1">
      <alignment horizontal="center"/>
    </xf>
    <xf numFmtId="0" fontId="0" fillId="0" borderId="11" xfId="0" applyBorder="1"/>
    <xf numFmtId="49" fontId="0" fillId="0" borderId="2" xfId="0" applyNumberFormat="1" applyBorder="1" applyAlignment="1">
      <alignment horizontal="center"/>
    </xf>
    <xf numFmtId="2" fontId="0" fillId="0" borderId="2" xfId="0" applyNumberFormat="1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49" fontId="0" fillId="0" borderId="10" xfId="0" applyNumberFormat="1" applyBorder="1" applyAlignment="1">
      <alignment horizontal="center"/>
    </xf>
    <xf numFmtId="2" fontId="0" fillId="0" borderId="10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49" fontId="1" fillId="0" borderId="11" xfId="0" applyNumberFormat="1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1" xfId="0" applyFont="1" applyBorder="1"/>
    <xf numFmtId="0" fontId="0" fillId="0" borderId="2" xfId="0" applyFont="1" applyBorder="1"/>
    <xf numFmtId="0" fontId="0" fillId="0" borderId="10" xfId="0" applyFont="1" applyBorder="1"/>
    <xf numFmtId="0" fontId="1" fillId="0" borderId="2" xfId="0" applyFont="1" applyBorder="1"/>
    <xf numFmtId="0" fontId="1" fillId="0" borderId="10" xfId="0" applyFont="1" applyBorder="1"/>
    <xf numFmtId="2" fontId="1" fillId="0" borderId="10" xfId="0" applyNumberFormat="1" applyFont="1" applyBorder="1" applyAlignment="1">
      <alignment horizontal="center"/>
    </xf>
    <xf numFmtId="49" fontId="0" fillId="0" borderId="0" xfId="0" applyNumberFormat="1"/>
    <xf numFmtId="0" fontId="3" fillId="0" borderId="0" xfId="0" applyFont="1" applyBorder="1" applyAlignment="1">
      <alignment horizontal="right" vertical="top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3" fillId="0" borderId="0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left" vertical="top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0" xfId="0" applyFont="1" applyFill="1" applyBorder="1"/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lishchuk\Desktop\&#1057;&#1090;&#1072;&#1088;&#1110;%20&#1076;&#1072;&#1085;&#1110;\&#1040;&#1083;&#1083;&#1072;\&#1072;&#1083;&#1083;&#1072;\&#1058;&#1040;&#1056;&#1048;&#1060;&#1048;\&#1041;&#1086;&#1103;&#1088;&#1089;&#1100;&#1082;&#1077;%20&#1043;&#1042;&#1059;&#1046;&#1050;&#1043;\&#1090;&#1072;&#1088;&#1080;&#1092;%202025-2026\&#1055;&#1083;&#1072;&#1085;&#1086;&#1074;&#1080;&#1081;%20&#1090;&#1072;&#1088;&#1080;&#1092;%20&#1085;&#1072;%20&#1090;&#1077;&#1087;&#1083;&#1086;%202025-202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"/>
      <sheetName val="Лист1"/>
      <sheetName val="2"/>
      <sheetName val="розрах вартості палива"/>
      <sheetName val="розр.екон. ефе по інвест прогр."/>
      <sheetName val="Середня ціна електроенергії"/>
      <sheetName val="розрах витрат електроенергії"/>
      <sheetName val="інформ.про суб.ВВ"/>
      <sheetName val="електроенергія на ремонт"/>
      <sheetName val="розр.абон.плати"/>
      <sheetName val=" вода і стоки"/>
      <sheetName val="Розрах. зп на вир.тран.і пост "/>
      <sheetName val="накладні витрат. "/>
      <sheetName val="транспортування"/>
      <sheetName val="постачання"/>
      <sheetName val="теплова енергія з прибутком"/>
      <sheetName val="Аркуш3"/>
      <sheetName val="Аркуш1"/>
      <sheetName val="про намір  нові тарифи"/>
      <sheetName val="обгрунтування зміни тарифів"/>
      <sheetName val="вода, стоки на вир.транспортув."/>
      <sheetName val="Лист5"/>
      <sheetName val="середня ціна палива за опал.пер"/>
      <sheetName val="розр."/>
      <sheetName val="виробництво"/>
      <sheetName val=" різниця в тарифах"/>
      <sheetName val="Розрахунок інших операц витрат"/>
      <sheetName val="пояснювальна запика"/>
      <sheetName val="розрах.амортизації"/>
      <sheetName val="повідомл.про намір"/>
      <sheetName val="структура тарифу на тепл.енергі"/>
      <sheetName val="Роз&quot;яснення по абон.платі"/>
      <sheetName val="перелік поданих докумен"/>
      <sheetName val="Розр.витрат солі на Космосі"/>
      <sheetName val="інформація про суб&quot;єкта господ"/>
      <sheetName val="Аркуш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42">
          <cell r="I42">
            <v>3993.2253949279998</v>
          </cell>
        </row>
        <row r="52">
          <cell r="I52">
            <v>691.07716077009968</v>
          </cell>
        </row>
        <row r="53">
          <cell r="I53">
            <v>152.0379816620131</v>
          </cell>
        </row>
        <row r="54">
          <cell r="I54">
            <v>71.722917567887265</v>
          </cell>
        </row>
        <row r="56">
          <cell r="I56">
            <v>233.77506612074015</v>
          </cell>
        </row>
        <row r="57">
          <cell r="I57">
            <v>51.430513928184801</v>
          </cell>
        </row>
        <row r="58">
          <cell r="I58">
            <v>49.777099951075066</v>
          </cell>
        </row>
        <row r="63">
          <cell r="I63">
            <v>0</v>
          </cell>
        </row>
        <row r="71">
          <cell r="I71">
            <v>0</v>
          </cell>
        </row>
      </sheetData>
      <sheetData sheetId="14">
        <row r="23">
          <cell r="J23">
            <v>0.26</v>
          </cell>
        </row>
        <row r="30">
          <cell r="J30">
            <v>255.98781669885662</v>
          </cell>
        </row>
        <row r="31">
          <cell r="J31">
            <v>56.317319662904524</v>
          </cell>
        </row>
        <row r="32">
          <cell r="J32">
            <v>26.567873638238879</v>
          </cell>
        </row>
        <row r="34">
          <cell r="J34">
            <v>86.594621995121344</v>
          </cell>
        </row>
        <row r="35">
          <cell r="J35">
            <v>19.951818861779998</v>
          </cell>
        </row>
        <row r="36">
          <cell r="J36">
            <v>17.537359143098655</v>
          </cell>
        </row>
        <row r="38">
          <cell r="J38">
            <v>1541.9083715336606</v>
          </cell>
        </row>
        <row r="39">
          <cell r="J39">
            <v>339.21984173740532</v>
          </cell>
        </row>
        <row r="40">
          <cell r="J40">
            <v>436.5930991026197</v>
          </cell>
        </row>
        <row r="41">
          <cell r="J41">
            <v>0</v>
          </cell>
        </row>
      </sheetData>
      <sheetData sheetId="15">
        <row r="39">
          <cell r="G39">
            <v>2628.1453182574674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32">
          <cell r="H32">
            <v>29442.377763226999</v>
          </cell>
          <cell r="L32">
            <v>21057.700045844002</v>
          </cell>
          <cell r="T32">
            <v>6954.7863541019997</v>
          </cell>
          <cell r="X32">
            <v>1429.8913632809999</v>
          </cell>
        </row>
        <row r="57">
          <cell r="H57">
            <v>3762.08929924412</v>
          </cell>
        </row>
        <row r="59">
          <cell r="H59">
            <v>827.65964567434003</v>
          </cell>
        </row>
        <row r="60">
          <cell r="H60">
            <v>390.45105508153983</v>
          </cell>
        </row>
        <row r="64">
          <cell r="H64">
            <v>1269.820157002308</v>
          </cell>
        </row>
        <row r="66">
          <cell r="H66">
            <v>279.36043118159995</v>
          </cell>
        </row>
        <row r="67">
          <cell r="H67">
            <v>270.37941181609204</v>
          </cell>
        </row>
        <row r="76">
          <cell r="H76">
            <v>0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K108"/>
  <sheetViews>
    <sheetView tabSelected="1" topLeftCell="A49" workbookViewId="0">
      <selection activeCell="C71" sqref="C71"/>
    </sheetView>
  </sheetViews>
  <sheetFormatPr defaultRowHeight="15" x14ac:dyDescent="0.25"/>
  <cols>
    <col min="2" max="2" width="6.85546875" customWidth="1"/>
    <col min="3" max="3" width="39.5703125" customWidth="1"/>
    <col min="4" max="4" width="10.28515625" customWidth="1"/>
    <col min="5" max="5" width="10.140625" customWidth="1"/>
    <col min="6" max="6" width="11.7109375" customWidth="1"/>
    <col min="7" max="7" width="12.85546875" customWidth="1"/>
    <col min="8" max="8" width="11.28515625" customWidth="1"/>
    <col min="9" max="9" width="13" customWidth="1"/>
    <col min="10" max="10" width="10.5703125" customWidth="1"/>
    <col min="11" max="11" width="13.7109375" customWidth="1"/>
  </cols>
  <sheetData>
    <row r="2" spans="2:11" ht="15.75" x14ac:dyDescent="0.25">
      <c r="H2" s="36"/>
      <c r="I2" s="40" t="s">
        <v>92</v>
      </c>
      <c r="J2" s="40"/>
    </row>
    <row r="3" spans="2:11" ht="15.75" x14ac:dyDescent="0.25">
      <c r="H3" s="41" t="s">
        <v>89</v>
      </c>
      <c r="I3" s="41"/>
      <c r="J3" s="41"/>
    </row>
    <row r="4" spans="2:11" ht="15.75" x14ac:dyDescent="0.25">
      <c r="H4" s="41" t="s">
        <v>90</v>
      </c>
      <c r="I4" s="41"/>
      <c r="J4" s="41"/>
    </row>
    <row r="5" spans="2:11" ht="15.75" x14ac:dyDescent="0.25">
      <c r="H5" s="41" t="s">
        <v>91</v>
      </c>
      <c r="I5" s="41"/>
      <c r="J5" s="41"/>
    </row>
    <row r="9" spans="2:11" ht="15.75" x14ac:dyDescent="0.25">
      <c r="D9" s="1"/>
      <c r="E9" s="1"/>
      <c r="F9" s="2" t="s">
        <v>0</v>
      </c>
      <c r="G9" s="1"/>
      <c r="H9" s="1"/>
      <c r="I9" s="1"/>
      <c r="J9" s="1"/>
    </row>
    <row r="10" spans="2:11" x14ac:dyDescent="0.25">
      <c r="D10" s="1" t="s">
        <v>1</v>
      </c>
      <c r="E10" s="1"/>
      <c r="F10" s="1"/>
      <c r="G10" s="1"/>
      <c r="H10" s="1"/>
      <c r="I10" s="1"/>
      <c r="J10" s="1"/>
    </row>
    <row r="11" spans="2:11" x14ac:dyDescent="0.25">
      <c r="D11" s="1"/>
      <c r="E11" s="1"/>
      <c r="F11" s="1" t="s">
        <v>2</v>
      </c>
      <c r="G11" s="1"/>
      <c r="H11" s="1"/>
      <c r="I11" s="1"/>
      <c r="J11" s="1"/>
    </row>
    <row r="12" spans="2:11" x14ac:dyDescent="0.25">
      <c r="F12" t="s">
        <v>3</v>
      </c>
    </row>
    <row r="13" spans="2:11" x14ac:dyDescent="0.25">
      <c r="G13" s="3">
        <v>0.82320000000000004</v>
      </c>
      <c r="I13" s="3">
        <v>0.1447</v>
      </c>
      <c r="K13" s="3">
        <v>3.2099999999999997E-2</v>
      </c>
    </row>
    <row r="14" spans="2:11" x14ac:dyDescent="0.25">
      <c r="B14" s="4" t="s">
        <v>4</v>
      </c>
      <c r="C14" s="5"/>
      <c r="D14" s="42" t="s">
        <v>5</v>
      </c>
      <c r="E14" s="43"/>
      <c r="F14" s="44" t="s">
        <v>6</v>
      </c>
      <c r="G14" s="43"/>
      <c r="H14" s="44" t="s">
        <v>6</v>
      </c>
      <c r="I14" s="43"/>
      <c r="J14" s="44" t="s">
        <v>6</v>
      </c>
      <c r="K14" s="43"/>
    </row>
    <row r="15" spans="2:11" x14ac:dyDescent="0.25">
      <c r="B15" s="6"/>
      <c r="C15" s="5" t="s">
        <v>7</v>
      </c>
      <c r="D15" s="37" t="s">
        <v>8</v>
      </c>
      <c r="E15" s="38"/>
      <c r="F15" s="39" t="s">
        <v>9</v>
      </c>
      <c r="G15" s="38"/>
      <c r="H15" s="39" t="s">
        <v>10</v>
      </c>
      <c r="I15" s="38"/>
      <c r="J15" s="39" t="s">
        <v>11</v>
      </c>
      <c r="K15" s="38"/>
    </row>
    <row r="16" spans="2:11" x14ac:dyDescent="0.25">
      <c r="B16" s="6"/>
      <c r="C16" s="7"/>
      <c r="D16" s="8" t="s">
        <v>12</v>
      </c>
      <c r="E16" s="9"/>
      <c r="F16" s="9" t="s">
        <v>12</v>
      </c>
      <c r="G16" s="9"/>
      <c r="H16" s="9" t="s">
        <v>12</v>
      </c>
      <c r="I16" s="9"/>
      <c r="J16" s="9" t="s">
        <v>12</v>
      </c>
      <c r="K16" s="9"/>
    </row>
    <row r="17" spans="2:11" x14ac:dyDescent="0.25">
      <c r="B17" s="10"/>
      <c r="C17" s="11"/>
      <c r="D17" s="12" t="s">
        <v>13</v>
      </c>
      <c r="E17" s="13" t="s">
        <v>14</v>
      </c>
      <c r="F17" s="13" t="s">
        <v>13</v>
      </c>
      <c r="G17" s="13" t="s">
        <v>14</v>
      </c>
      <c r="H17" s="13" t="s">
        <v>13</v>
      </c>
      <c r="I17" s="13" t="s">
        <v>14</v>
      </c>
      <c r="J17" s="13" t="s">
        <v>13</v>
      </c>
      <c r="K17" s="13" t="s">
        <v>14</v>
      </c>
    </row>
    <row r="18" spans="2:11" x14ac:dyDescent="0.25">
      <c r="B18" s="14">
        <v>1</v>
      </c>
      <c r="C18" s="14">
        <v>2</v>
      </c>
      <c r="D18" s="14">
        <v>3</v>
      </c>
      <c r="E18" s="14">
        <v>4</v>
      </c>
      <c r="F18" s="14">
        <v>5</v>
      </c>
      <c r="G18" s="14">
        <v>6</v>
      </c>
      <c r="H18" s="14">
        <v>7</v>
      </c>
      <c r="I18" s="14">
        <v>8</v>
      </c>
      <c r="J18" s="14">
        <v>9</v>
      </c>
      <c r="K18" s="14">
        <v>10</v>
      </c>
    </row>
    <row r="19" spans="2:11" x14ac:dyDescent="0.25">
      <c r="B19" s="14" t="s">
        <v>15</v>
      </c>
      <c r="C19" s="15" t="s">
        <v>16</v>
      </c>
      <c r="D19" s="16">
        <f>D20+D27+D28+D32+0.01</f>
        <v>61110.060000000005</v>
      </c>
      <c r="E19" s="16">
        <f>E20+E27+E28+E32+0.01</f>
        <v>3116.9131350753687</v>
      </c>
      <c r="F19" s="16">
        <f t="shared" ref="F19:K19" si="0">F20+F27+F28+F32</f>
        <v>47126.541013843998</v>
      </c>
      <c r="G19" s="16">
        <f t="shared" si="0"/>
        <v>2919.8600380324665</v>
      </c>
      <c r="H19" s="16">
        <f t="shared" si="0"/>
        <v>11537.102915090618</v>
      </c>
      <c r="I19" s="16">
        <f t="shared" si="0"/>
        <v>4065.2230144787236</v>
      </c>
      <c r="J19" s="16">
        <f t="shared" si="0"/>
        <v>2446.4246876279999</v>
      </c>
      <c r="K19" s="16">
        <f t="shared" si="0"/>
        <v>3895.5807127834387</v>
      </c>
    </row>
    <row r="20" spans="2:11" x14ac:dyDescent="0.25">
      <c r="B20" s="17" t="s">
        <v>17</v>
      </c>
      <c r="C20" s="15" t="s">
        <v>18</v>
      </c>
      <c r="D20" s="18">
        <f>D21+D22+D24+D26</f>
        <v>40525.79</v>
      </c>
      <c r="E20" s="19">
        <f>E21+E22+E24+E26</f>
        <v>2067.0095889013569</v>
      </c>
      <c r="F20" s="18">
        <f>F21+F22+F24+F26</f>
        <v>30181.573157843999</v>
      </c>
      <c r="G20" s="18">
        <f t="shared" ref="G20:K20" si="1">G21+G22+G24+G26</f>
        <v>1869.9859453434947</v>
      </c>
      <c r="H20" s="18">
        <f t="shared" si="1"/>
        <v>8558.5557811019989</v>
      </c>
      <c r="I20" s="18">
        <f t="shared" si="1"/>
        <v>3015.6997114524311</v>
      </c>
      <c r="J20" s="18">
        <f t="shared" si="1"/>
        <v>1785.6688242809998</v>
      </c>
      <c r="K20" s="18">
        <f t="shared" si="1"/>
        <v>2843.421694714968</v>
      </c>
    </row>
    <row r="21" spans="2:11" x14ac:dyDescent="0.25">
      <c r="B21" s="17" t="s">
        <v>19</v>
      </c>
      <c r="C21" s="20" t="s">
        <v>20</v>
      </c>
      <c r="D21" s="18">
        <v>29442.38</v>
      </c>
      <c r="E21" s="18">
        <f>D21/D59*1000</f>
        <v>1501.7025400387638</v>
      </c>
      <c r="F21" s="18">
        <f>[1]виробництво!L32</f>
        <v>21057.700045844002</v>
      </c>
      <c r="G21" s="18">
        <f>F21/F59*1000</f>
        <v>1304.6902134971501</v>
      </c>
      <c r="H21" s="18">
        <f>[1]виробництво!T32</f>
        <v>6954.7863541019997</v>
      </c>
      <c r="I21" s="18">
        <f>H21/H59*1000</f>
        <v>2450.5942051099364</v>
      </c>
      <c r="J21" s="18">
        <f>[1]виробництво!X32</f>
        <v>1429.8913632809999</v>
      </c>
      <c r="K21" s="18">
        <f>J21/J59*1000</f>
        <v>2276.8970752882165</v>
      </c>
    </row>
    <row r="22" spans="2:11" x14ac:dyDescent="0.25">
      <c r="B22" s="17" t="s">
        <v>21</v>
      </c>
      <c r="C22" s="20" t="s">
        <v>22</v>
      </c>
      <c r="D22" s="18">
        <v>8996.2999999999993</v>
      </c>
      <c r="E22" s="18">
        <f>D22/D59*1000</f>
        <v>458.85443231663777</v>
      </c>
      <c r="F22" s="18">
        <f>D22*G13+0.01</f>
        <v>7405.7641599999997</v>
      </c>
      <c r="G22" s="18">
        <f>F22/F59*1000</f>
        <v>458.84536307311026</v>
      </c>
      <c r="H22" s="18">
        <f>D22*I13</f>
        <v>1301.7646099999999</v>
      </c>
      <c r="I22" s="18">
        <f>H22/H59*1000</f>
        <v>458.69084214235374</v>
      </c>
      <c r="J22" s="18">
        <f>D22*K13</f>
        <v>288.78122999999994</v>
      </c>
      <c r="K22" s="18">
        <f>J22/J59*1000</f>
        <v>459.8427229299362</v>
      </c>
    </row>
    <row r="23" spans="2:11" x14ac:dyDescent="0.25">
      <c r="B23" s="21" t="s">
        <v>23</v>
      </c>
      <c r="C23" s="5" t="s">
        <v>24</v>
      </c>
      <c r="D23" s="22"/>
      <c r="E23" s="23"/>
      <c r="F23" s="23"/>
      <c r="G23" s="23"/>
      <c r="H23" s="23"/>
      <c r="I23" s="23"/>
      <c r="J23" s="23"/>
      <c r="K23" s="23"/>
    </row>
    <row r="24" spans="2:11" x14ac:dyDescent="0.25">
      <c r="B24" s="24"/>
      <c r="C24" s="11" t="s">
        <v>25</v>
      </c>
      <c r="D24" s="22">
        <v>1904.69</v>
      </c>
      <c r="E24" s="25">
        <f>D24/D59*1000</f>
        <v>97.148321942262569</v>
      </c>
      <c r="F24" s="25">
        <f>D24*G13</f>
        <v>1567.9408080000001</v>
      </c>
      <c r="G24" s="25">
        <f>F24/F59*1000</f>
        <v>97.146270631970268</v>
      </c>
      <c r="H24" s="25">
        <f>D24*I13</f>
        <v>275.60864299999997</v>
      </c>
      <c r="I24" s="25">
        <f>H24/H59*1000</f>
        <v>97.113686751233246</v>
      </c>
      <c r="J24" s="25">
        <f>D24*K13</f>
        <v>61.140548999999993</v>
      </c>
      <c r="K24" s="25">
        <f>J24/J59*1000</f>
        <v>97.357562101910815</v>
      </c>
    </row>
    <row r="25" spans="2:11" x14ac:dyDescent="0.25">
      <c r="B25" s="21" t="s">
        <v>26</v>
      </c>
      <c r="C25" s="5" t="s">
        <v>27</v>
      </c>
      <c r="D25" s="26"/>
      <c r="E25" s="23"/>
      <c r="F25" s="23"/>
      <c r="G25" s="23"/>
      <c r="H25" s="23"/>
      <c r="I25" s="23"/>
      <c r="J25" s="23"/>
      <c r="K25" s="23"/>
    </row>
    <row r="26" spans="2:11" x14ac:dyDescent="0.25">
      <c r="B26" s="24"/>
      <c r="C26" s="11" t="s">
        <v>28</v>
      </c>
      <c r="D26" s="25">
        <v>182.42</v>
      </c>
      <c r="E26" s="25">
        <f>D26/D59*1000</f>
        <v>9.3042946036927461</v>
      </c>
      <c r="F26" s="25">
        <f>D26*G13</f>
        <v>150.16814399999998</v>
      </c>
      <c r="G26" s="25">
        <f>F26/F59*1000</f>
        <v>9.3040981412639407</v>
      </c>
      <c r="H26" s="25">
        <f>D26*I13</f>
        <v>26.396173999999998</v>
      </c>
      <c r="I26" s="25">
        <f>H26/H59*1000</f>
        <v>9.3009774489076804</v>
      </c>
      <c r="J26" s="25">
        <f>D26*K13</f>
        <v>5.8556819999999989</v>
      </c>
      <c r="K26" s="25">
        <f>J26/J59*1000</f>
        <v>9.3243343949044561</v>
      </c>
    </row>
    <row r="27" spans="2:11" x14ac:dyDescent="0.25">
      <c r="B27" s="17" t="s">
        <v>29</v>
      </c>
      <c r="C27" s="15" t="s">
        <v>30</v>
      </c>
      <c r="D27" s="18">
        <v>9876.94</v>
      </c>
      <c r="E27" s="18">
        <f>D27/D59*1000</f>
        <v>503.77129450168326</v>
      </c>
      <c r="F27" s="18">
        <f>D27*G13</f>
        <v>8130.697008000001</v>
      </c>
      <c r="G27" s="18">
        <f>F27/F59*1000</f>
        <v>503.76065724907073</v>
      </c>
      <c r="H27" s="18">
        <f>D27*I13</f>
        <v>1429.1932180000001</v>
      </c>
      <c r="I27" s="18">
        <f>H27/H59*1000</f>
        <v>503.59169062720235</v>
      </c>
      <c r="J27" s="18">
        <f>D27*K13</f>
        <v>317.04977399999996</v>
      </c>
      <c r="K27" s="18">
        <f>J27/J59*1000</f>
        <v>504.85632802547764</v>
      </c>
    </row>
    <row r="28" spans="2:11" x14ac:dyDescent="0.25">
      <c r="B28" s="17" t="s">
        <v>31</v>
      </c>
      <c r="C28" s="15" t="s">
        <v>32</v>
      </c>
      <c r="D28" s="18">
        <v>4470.6400000000003</v>
      </c>
      <c r="E28" s="18">
        <f t="shared" ref="E28:K28" si="2">E29+E30+E31</f>
        <v>228.02407426298072</v>
      </c>
      <c r="F28" s="18">
        <f>F29+F30+F31</f>
        <v>3680.2308480000002</v>
      </c>
      <c r="G28" s="18">
        <f t="shared" si="2"/>
        <v>228.01925947955388</v>
      </c>
      <c r="H28" s="18">
        <f>H29+H30+H31</f>
        <v>646.90160800000001</v>
      </c>
      <c r="I28" s="18">
        <f t="shared" si="2"/>
        <v>227.94277942212824</v>
      </c>
      <c r="J28" s="18">
        <f t="shared" si="2"/>
        <v>143.50754399999997</v>
      </c>
      <c r="K28" s="18">
        <f t="shared" si="2"/>
        <v>228.5151974522293</v>
      </c>
    </row>
    <row r="29" spans="2:11" x14ac:dyDescent="0.25">
      <c r="B29" s="17" t="s">
        <v>33</v>
      </c>
      <c r="C29" s="20" t="s">
        <v>34</v>
      </c>
      <c r="D29" s="18">
        <v>2172.9299999999998</v>
      </c>
      <c r="E29" s="18">
        <f>D29/D59*1000</f>
        <v>110.82984800571252</v>
      </c>
      <c r="F29" s="18">
        <f>D29*G13-0.01</f>
        <v>1788.7459759999999</v>
      </c>
      <c r="G29" s="18">
        <f>F29/F59*1000</f>
        <v>110.82688822800495</v>
      </c>
      <c r="H29" s="18">
        <f>D29*I13</f>
        <v>314.42297099999996</v>
      </c>
      <c r="I29" s="18">
        <f>H29/H59*1000</f>
        <v>110.79033509513741</v>
      </c>
      <c r="J29" s="18">
        <f>D29*K13</f>
        <v>69.751052999999985</v>
      </c>
      <c r="K29" s="18">
        <f>J29/J59*1000</f>
        <v>111.06855573248406</v>
      </c>
    </row>
    <row r="30" spans="2:11" x14ac:dyDescent="0.25">
      <c r="B30" s="17" t="s">
        <v>35</v>
      </c>
      <c r="C30" s="20" t="s">
        <v>36</v>
      </c>
      <c r="D30" s="18">
        <v>2052.92</v>
      </c>
      <c r="E30" s="18">
        <f>D30/D59*1000</f>
        <v>104.70876262368662</v>
      </c>
      <c r="F30" s="18">
        <f>D30*G13+0.01</f>
        <v>1689.9737440000001</v>
      </c>
      <c r="G30" s="18">
        <f>F30/F59*1000</f>
        <v>104.70717125154896</v>
      </c>
      <c r="H30" s="18">
        <f>D30*I13</f>
        <v>297.057524</v>
      </c>
      <c r="I30" s="18">
        <f>H30/H59*1000</f>
        <v>104.67143199436222</v>
      </c>
      <c r="J30" s="18">
        <f>D30*K13</f>
        <v>65.898731999999995</v>
      </c>
      <c r="K30" s="18">
        <f>J30/J59*1000</f>
        <v>104.93428662420382</v>
      </c>
    </row>
    <row r="31" spans="2:11" x14ac:dyDescent="0.25">
      <c r="B31" s="17" t="s">
        <v>37</v>
      </c>
      <c r="C31" s="20" t="s">
        <v>38</v>
      </c>
      <c r="D31" s="18">
        <v>244.79</v>
      </c>
      <c r="E31" s="18">
        <f>D31/D59*1000</f>
        <v>12.485463633581556</v>
      </c>
      <c r="F31" s="18">
        <f>D31*G13</f>
        <v>201.51112800000001</v>
      </c>
      <c r="G31" s="18">
        <f>F31/F59*1000</f>
        <v>12.485200000000001</v>
      </c>
      <c r="H31" s="18">
        <f>D31*I13</f>
        <v>35.421112999999998</v>
      </c>
      <c r="I31" s="18">
        <f>H31/H59*1000</f>
        <v>12.481012332628612</v>
      </c>
      <c r="J31" s="18">
        <f>D31*K13</f>
        <v>7.8577589999999988</v>
      </c>
      <c r="K31" s="18">
        <f>J31/J59*1000</f>
        <v>12.512355095541398</v>
      </c>
    </row>
    <row r="32" spans="2:11" x14ac:dyDescent="0.25">
      <c r="B32" s="27" t="s">
        <v>39</v>
      </c>
      <c r="C32" s="15" t="s">
        <v>40</v>
      </c>
      <c r="D32" s="16">
        <v>6236.68</v>
      </c>
      <c r="E32" s="16">
        <f t="shared" ref="E32:K32" si="3">E33+E34+E35</f>
        <v>318.09817740934744</v>
      </c>
      <c r="F32" s="16">
        <f t="shared" si="3"/>
        <v>5134.0400000000009</v>
      </c>
      <c r="G32" s="16">
        <f t="shared" si="3"/>
        <v>318.094175960347</v>
      </c>
      <c r="H32" s="16">
        <f t="shared" si="3"/>
        <v>902.45230798861792</v>
      </c>
      <c r="I32" s="16">
        <f t="shared" si="3"/>
        <v>317.98883297696193</v>
      </c>
      <c r="J32" s="16">
        <f t="shared" si="3"/>
        <v>200.19854534699996</v>
      </c>
      <c r="K32" s="16">
        <f t="shared" si="3"/>
        <v>318.78749259076426</v>
      </c>
    </row>
    <row r="33" spans="2:11" x14ac:dyDescent="0.25">
      <c r="B33" s="17" t="s">
        <v>41</v>
      </c>
      <c r="C33" s="20" t="s">
        <v>42</v>
      </c>
      <c r="D33" s="18">
        <f>[1]виробництво!H57+[1]постачання!J30+[1]транспортування!I52</f>
        <v>4709.1542767130759</v>
      </c>
      <c r="E33" s="18">
        <v>240.3</v>
      </c>
      <c r="F33" s="18">
        <v>3878.3</v>
      </c>
      <c r="G33" s="18">
        <f>F33/F59*1000</f>
        <v>240.29120198265181</v>
      </c>
      <c r="H33" s="18">
        <v>681.72</v>
      </c>
      <c r="I33" s="18">
        <f>H33/H59*1000</f>
        <v>240.21141649048627</v>
      </c>
      <c r="J33" s="18">
        <f>D33*K13+0.07</f>
        <v>151.23385228248972</v>
      </c>
      <c r="K33" s="18">
        <f>J33/J59*1000</f>
        <v>240.81823611861418</v>
      </c>
    </row>
    <row r="34" spans="2:11" x14ac:dyDescent="0.25">
      <c r="B34" s="17" t="s">
        <v>43</v>
      </c>
      <c r="C34" s="20" t="s">
        <v>44</v>
      </c>
      <c r="D34" s="18">
        <f>[1]виробництво!H59+[1]постачання!J31+[1]транспортування!I53</f>
        <v>1036.0149469992577</v>
      </c>
      <c r="E34" s="18">
        <v>52.87</v>
      </c>
      <c r="F34" s="18">
        <v>853.23</v>
      </c>
      <c r="G34" s="18">
        <f>F34/F59*1000</f>
        <v>52.864312267657994</v>
      </c>
      <c r="H34" s="18">
        <f>D34*I13+0.07</f>
        <v>149.98136283079259</v>
      </c>
      <c r="I34" s="18">
        <f>H34/H59*1000</f>
        <v>52.847555613387101</v>
      </c>
      <c r="J34" s="18">
        <f>D34*K13+0.01</f>
        <v>33.266079798676166</v>
      </c>
      <c r="K34" s="18">
        <f>J34/J59*1000</f>
        <v>52.971464647573512</v>
      </c>
    </row>
    <row r="35" spans="2:11" x14ac:dyDescent="0.25">
      <c r="B35" s="17" t="s">
        <v>45</v>
      </c>
      <c r="C35" s="20" t="s">
        <v>46</v>
      </c>
      <c r="D35" s="18">
        <f>[1]виробництво!H60+[1]постачання!J32+[1]транспортування!I54</f>
        <v>488.74184628766602</v>
      </c>
      <c r="E35" s="18">
        <f>D35/D59*1000</f>
        <v>24.928177409347445</v>
      </c>
      <c r="F35" s="18">
        <v>402.51</v>
      </c>
      <c r="G35" s="18">
        <f>F35/F59*1000</f>
        <v>24.938661710037177</v>
      </c>
      <c r="H35" s="18">
        <f>D35*I13+0.03</f>
        <v>70.750945157825271</v>
      </c>
      <c r="I35" s="18">
        <f>H35/H59*1000</f>
        <v>24.929860873088536</v>
      </c>
      <c r="J35" s="18">
        <f>D35*K13+0.01</f>
        <v>15.698613265834078</v>
      </c>
      <c r="K35" s="18">
        <f>J35/J59*1000</f>
        <v>24.997791824576559</v>
      </c>
    </row>
    <row r="36" spans="2:11" x14ac:dyDescent="0.25">
      <c r="B36" s="17" t="s">
        <v>47</v>
      </c>
      <c r="C36" s="15" t="s">
        <v>48</v>
      </c>
      <c r="D36" s="16">
        <f>D37+D38+D39</f>
        <v>2278.6264799999999</v>
      </c>
      <c r="E36" s="16">
        <f t="shared" ref="E36:K36" si="4">E37+E38+E39</f>
        <v>116.22087524227277</v>
      </c>
      <c r="F36" s="16">
        <f t="shared" si="4"/>
        <v>1875.7653183360001</v>
      </c>
      <c r="G36" s="16">
        <f t="shared" si="4"/>
        <v>116.21842121040892</v>
      </c>
      <c r="H36" s="16">
        <f t="shared" si="4"/>
        <v>329.71725165600003</v>
      </c>
      <c r="I36" s="16">
        <f t="shared" si="4"/>
        <v>116.17944032980971</v>
      </c>
      <c r="J36" s="16">
        <f t="shared" si="4"/>
        <v>73.143910007999992</v>
      </c>
      <c r="K36" s="16">
        <f t="shared" si="4"/>
        <v>116.47119428025476</v>
      </c>
    </row>
    <row r="37" spans="2:11" x14ac:dyDescent="0.25">
      <c r="B37" s="17" t="s">
        <v>49</v>
      </c>
      <c r="C37" s="20" t="s">
        <v>42</v>
      </c>
      <c r="D37" s="18">
        <f>[1]виробництво!H64+[1]постачання!J34+[1]транспортування!I56</f>
        <v>1590.1898451181694</v>
      </c>
      <c r="E37" s="18">
        <f>D37/D59*1000</f>
        <v>81.107306187808291</v>
      </c>
      <c r="F37" s="18">
        <f>D37*G13</f>
        <v>1309.0442805012772</v>
      </c>
      <c r="G37" s="18">
        <f>F37/F59*1000</f>
        <v>81.105593587439728</v>
      </c>
      <c r="H37" s="18">
        <f>D37*I13</f>
        <v>230.10047058859911</v>
      </c>
      <c r="I37" s="18">
        <f>H37/H59*1000</f>
        <v>81.078389918463387</v>
      </c>
      <c r="J37" s="18">
        <f>D37*K13</f>
        <v>51.045094028293235</v>
      </c>
      <c r="K37" s="18">
        <f>J37/J59*1000</f>
        <v>81.281996860339547</v>
      </c>
    </row>
    <row r="38" spans="2:11" x14ac:dyDescent="0.25">
      <c r="B38" s="17" t="s">
        <v>50</v>
      </c>
      <c r="C38" s="20" t="s">
        <v>44</v>
      </c>
      <c r="D38" s="18">
        <f>[1]виробництво!H66+[1]постачання!J35+[1]транспортування!I57</f>
        <v>350.74276397156473</v>
      </c>
      <c r="E38" s="18">
        <f>D38/D59*1000</f>
        <v>17.889562581432454</v>
      </c>
      <c r="F38" s="18">
        <f>D38*G13</f>
        <v>288.73144330139212</v>
      </c>
      <c r="G38" s="18">
        <f>F38/F59*1000</f>
        <v>17.889184838995796</v>
      </c>
      <c r="H38" s="18">
        <f>D38*I13</f>
        <v>50.752477946685417</v>
      </c>
      <c r="I38" s="18">
        <f>H38/H59*1000</f>
        <v>17.883184618282385</v>
      </c>
      <c r="J38" s="18">
        <f>D38*K13</f>
        <v>11.258842723487227</v>
      </c>
      <c r="K38" s="18">
        <f>J38/J59*1000</f>
        <v>17.928093508737625</v>
      </c>
    </row>
    <row r="39" spans="2:11" x14ac:dyDescent="0.25">
      <c r="B39" s="17" t="s">
        <v>51</v>
      </c>
      <c r="C39" s="20" t="s">
        <v>46</v>
      </c>
      <c r="D39" s="18">
        <f>[1]виробництво!H67+[1]постачання!J36+[1]транспортування!I58</f>
        <v>337.69387091026573</v>
      </c>
      <c r="E39" s="18">
        <f>D39/D59*1000</f>
        <v>17.224006473032016</v>
      </c>
      <c r="F39" s="18">
        <f>D39*G13</f>
        <v>277.98959453333077</v>
      </c>
      <c r="G39" s="18">
        <f>F39/F59*1000</f>
        <v>17.223642783973403</v>
      </c>
      <c r="H39" s="18">
        <f>D39*I13</f>
        <v>48.864303120715448</v>
      </c>
      <c r="I39" s="18">
        <f>H39/H59*1000</f>
        <v>17.217865793063936</v>
      </c>
      <c r="J39" s="18">
        <f>D39*K13</f>
        <v>10.839973256219528</v>
      </c>
      <c r="K39" s="18">
        <f>J39/J59*1000</f>
        <v>17.261103911177592</v>
      </c>
    </row>
    <row r="40" spans="2:11" x14ac:dyDescent="0.25">
      <c r="B40" s="17" t="s">
        <v>52</v>
      </c>
      <c r="C40" s="15" t="s">
        <v>53</v>
      </c>
      <c r="D40" s="16">
        <f>D41+D42+D43</f>
        <v>2317.7213123736856</v>
      </c>
      <c r="E40" s="16">
        <f t="shared" ref="E40:K40" si="5">E41+E42+E43</f>
        <v>118.21489913157633</v>
      </c>
      <c r="F40" s="16">
        <f t="shared" si="5"/>
        <v>1907.948184346018</v>
      </c>
      <c r="G40" s="16">
        <f t="shared" si="5"/>
        <v>118.21240299541623</v>
      </c>
      <c r="H40" s="16">
        <f t="shared" si="5"/>
        <v>335.3742739004723</v>
      </c>
      <c r="I40" s="16">
        <f t="shared" si="5"/>
        <v>118.1727533123581</v>
      </c>
      <c r="J40" s="16">
        <f t="shared" si="5"/>
        <v>74.398854127195307</v>
      </c>
      <c r="K40" s="16">
        <f t="shared" si="5"/>
        <v>118.46951294139379</v>
      </c>
    </row>
    <row r="41" spans="2:11" x14ac:dyDescent="0.25">
      <c r="B41" s="17" t="s">
        <v>54</v>
      </c>
      <c r="C41" s="20" t="s">
        <v>42</v>
      </c>
      <c r="D41" s="18">
        <f>[1]постачання!J38</f>
        <v>1541.9083715336606</v>
      </c>
      <c r="E41" s="18">
        <f>D41/D59*1000</f>
        <v>78.644719551854564</v>
      </c>
      <c r="F41" s="18">
        <f>D41*G13</f>
        <v>1269.2989714465095</v>
      </c>
      <c r="G41" s="18">
        <f>F41/F59*1000</f>
        <v>78.643058949597858</v>
      </c>
      <c r="H41" s="18">
        <f>D41*I13</f>
        <v>223.11414136092068</v>
      </c>
      <c r="I41" s="18">
        <f>H41/H59*1000</f>
        <v>78.616681240634492</v>
      </c>
      <c r="J41" s="18">
        <f>D41*K13</f>
        <v>49.495258726230496</v>
      </c>
      <c r="K41" s="18">
        <f>J41/J59*1000</f>
        <v>78.814106251959387</v>
      </c>
    </row>
    <row r="42" spans="2:11" x14ac:dyDescent="0.25">
      <c r="B42" s="17" t="s">
        <v>55</v>
      </c>
      <c r="C42" s="20" t="s">
        <v>44</v>
      </c>
      <c r="D42" s="18">
        <f>[1]постачання!J39</f>
        <v>339.21984173740532</v>
      </c>
      <c r="E42" s="18">
        <f>D42/D59*1000</f>
        <v>17.301838301408004</v>
      </c>
      <c r="F42" s="18">
        <f>D42*G13</f>
        <v>279.24577371823204</v>
      </c>
      <c r="G42" s="18">
        <f>F42/F59*1000</f>
        <v>17.301472968911526</v>
      </c>
      <c r="H42" s="18">
        <f>D42*I13</f>
        <v>49.085111099402546</v>
      </c>
      <c r="I42" s="18">
        <f>H42/H59*1000</f>
        <v>17.295669872939584</v>
      </c>
      <c r="J42" s="18">
        <f>D42*K13</f>
        <v>10.88895691977071</v>
      </c>
      <c r="K42" s="18">
        <f>J42/J59*1000</f>
        <v>17.339103375431066</v>
      </c>
    </row>
    <row r="43" spans="2:11" x14ac:dyDescent="0.25">
      <c r="B43" s="17" t="s">
        <v>56</v>
      </c>
      <c r="C43" s="20" t="s">
        <v>46</v>
      </c>
      <c r="D43" s="18">
        <f>[1]постачання!J40</f>
        <v>436.5930991026197</v>
      </c>
      <c r="E43" s="18">
        <f>D43/D59*1000</f>
        <v>22.268341278313766</v>
      </c>
      <c r="F43" s="18">
        <f>D43*G13</f>
        <v>359.40343918127655</v>
      </c>
      <c r="G43" s="18">
        <f>F43/F59*1000</f>
        <v>22.26787107690685</v>
      </c>
      <c r="H43" s="18">
        <f>D43*I13</f>
        <v>63.175021440149067</v>
      </c>
      <c r="I43" s="18">
        <f>H43/H59*1000</f>
        <v>22.260402198784025</v>
      </c>
      <c r="J43" s="18">
        <f>D43*K13</f>
        <v>14.014638481194091</v>
      </c>
      <c r="K43" s="18">
        <f>J43/J59*1000</f>
        <v>22.316303314003328</v>
      </c>
    </row>
    <row r="44" spans="2:11" x14ac:dyDescent="0.25">
      <c r="B44" s="17" t="s">
        <v>57</v>
      </c>
      <c r="C44" s="15" t="s">
        <v>58</v>
      </c>
      <c r="D44" s="16">
        <f>[1]виробництво!H76+[1]постачання!J41+[1]транспортування!I63</f>
        <v>0</v>
      </c>
      <c r="E44" s="16">
        <f>D44/D59*1000</f>
        <v>0</v>
      </c>
      <c r="F44" s="16">
        <v>0</v>
      </c>
      <c r="G44" s="16">
        <v>0</v>
      </c>
      <c r="H44" s="16">
        <f>D44*I13</f>
        <v>0</v>
      </c>
      <c r="I44" s="16">
        <f>H44/H59*1000</f>
        <v>0</v>
      </c>
      <c r="J44" s="16">
        <f>D44*K13</f>
        <v>0</v>
      </c>
      <c r="K44" s="16">
        <f>J44/J59*1000</f>
        <v>0</v>
      </c>
    </row>
    <row r="45" spans="2:11" x14ac:dyDescent="0.25">
      <c r="B45" s="17" t="s">
        <v>59</v>
      </c>
      <c r="C45" s="15" t="s">
        <v>60</v>
      </c>
      <c r="D45" s="28">
        <v>0</v>
      </c>
      <c r="E45" s="28">
        <v>0</v>
      </c>
      <c r="F45" s="28">
        <v>0</v>
      </c>
      <c r="G45" s="28">
        <v>0</v>
      </c>
      <c r="H45" s="28">
        <v>0</v>
      </c>
      <c r="I45" s="28">
        <v>0</v>
      </c>
      <c r="J45" s="28">
        <v>0</v>
      </c>
      <c r="K45" s="28">
        <v>0</v>
      </c>
    </row>
    <row r="46" spans="2:11" x14ac:dyDescent="0.25">
      <c r="B46" s="17" t="s">
        <v>61</v>
      </c>
      <c r="C46" s="15" t="s">
        <v>62</v>
      </c>
      <c r="D46" s="16">
        <f>D19+D36+D40</f>
        <v>65706.407792373691</v>
      </c>
      <c r="E46" s="16">
        <v>3351.34</v>
      </c>
      <c r="F46" s="16">
        <f>F19+F36+F40+F44+F45+0.21</f>
        <v>50910.464516526015</v>
      </c>
      <c r="G46" s="16">
        <f>G19+G36+G40+G44+G45+0.01</f>
        <v>3154.3008622382918</v>
      </c>
      <c r="H46" s="16">
        <f>H19+H36+H40+H44+H45+0.64</f>
        <v>12202.83444064709</v>
      </c>
      <c r="I46" s="16">
        <f>I19+I36+I40+I44+I45+0.22</f>
        <v>4299.7952081208923</v>
      </c>
      <c r="J46" s="16">
        <f>J19+J36+J40+J44+J45-0.85</f>
        <v>2593.1174517631953</v>
      </c>
      <c r="K46" s="16">
        <f>K19+K36+K40+K44+K45-1.35</f>
        <v>4129.1714200050865</v>
      </c>
    </row>
    <row r="47" spans="2:11" x14ac:dyDescent="0.25">
      <c r="B47" s="17" t="s">
        <v>63</v>
      </c>
      <c r="C47" s="15" t="s">
        <v>64</v>
      </c>
      <c r="D47" s="28">
        <v>0</v>
      </c>
      <c r="E47" s="28">
        <v>0</v>
      </c>
      <c r="F47" s="28">
        <v>0</v>
      </c>
      <c r="G47" s="28">
        <v>0</v>
      </c>
      <c r="H47" s="28">
        <v>0</v>
      </c>
      <c r="I47" s="28">
        <v>0</v>
      </c>
      <c r="J47" s="28">
        <v>0</v>
      </c>
      <c r="K47" s="28">
        <v>0</v>
      </c>
    </row>
    <row r="48" spans="2:11" x14ac:dyDescent="0.25">
      <c r="B48" s="17" t="s">
        <v>65</v>
      </c>
      <c r="C48" s="15" t="s">
        <v>66</v>
      </c>
      <c r="D48" s="16">
        <v>2628.26</v>
      </c>
      <c r="E48" s="16">
        <f>D48/D59*1000</f>
        <v>134.05386106293992</v>
      </c>
      <c r="F48" s="16">
        <v>2036.42</v>
      </c>
      <c r="G48" s="16">
        <f>F48/F59*1000</f>
        <v>126.1722428748451</v>
      </c>
      <c r="H48" s="16">
        <v>488.11</v>
      </c>
      <c r="I48" s="16">
        <f>H48/H59*1000</f>
        <v>171.99083861874558</v>
      </c>
      <c r="J48" s="16">
        <v>103.72</v>
      </c>
      <c r="K48" s="16">
        <f>J48/J59*1000+0.01</f>
        <v>165.16923566878981</v>
      </c>
    </row>
    <row r="49" spans="2:11" x14ac:dyDescent="0.25">
      <c r="B49" s="17" t="s">
        <v>67</v>
      </c>
      <c r="C49" s="29" t="s">
        <v>68</v>
      </c>
      <c r="D49" s="18">
        <f t="shared" ref="D49:K49" si="6">D48*0.18</f>
        <v>473.08680000000004</v>
      </c>
      <c r="E49" s="18">
        <f t="shared" si="6"/>
        <v>24.129694991329185</v>
      </c>
      <c r="F49" s="18">
        <f t="shared" si="6"/>
        <v>366.55560000000003</v>
      </c>
      <c r="G49" s="18">
        <f t="shared" si="6"/>
        <v>22.711003717472117</v>
      </c>
      <c r="H49" s="18">
        <f t="shared" si="6"/>
        <v>87.859799999999993</v>
      </c>
      <c r="I49" s="18">
        <f t="shared" si="6"/>
        <v>30.958350951374204</v>
      </c>
      <c r="J49" s="18">
        <f t="shared" si="6"/>
        <v>18.669599999999999</v>
      </c>
      <c r="K49" s="18">
        <f t="shared" si="6"/>
        <v>29.730462420382164</v>
      </c>
    </row>
    <row r="50" spans="2:11" x14ac:dyDescent="0.25">
      <c r="B50" s="17" t="s">
        <v>69</v>
      </c>
      <c r="C50" s="29" t="s">
        <v>70</v>
      </c>
      <c r="D50" s="14">
        <v>0</v>
      </c>
      <c r="E50" s="14">
        <v>0</v>
      </c>
      <c r="F50" s="14">
        <v>0</v>
      </c>
      <c r="G50" s="14">
        <v>0</v>
      </c>
      <c r="H50" s="14">
        <v>0</v>
      </c>
      <c r="I50" s="14">
        <v>0</v>
      </c>
      <c r="J50" s="14">
        <v>0</v>
      </c>
      <c r="K50" s="14">
        <v>0</v>
      </c>
    </row>
    <row r="51" spans="2:11" x14ac:dyDescent="0.25">
      <c r="B51" s="21" t="s">
        <v>71</v>
      </c>
      <c r="C51" s="30" t="s">
        <v>72</v>
      </c>
      <c r="D51" s="26"/>
      <c r="E51" s="26"/>
      <c r="F51" s="26"/>
      <c r="G51" s="26"/>
      <c r="H51" s="26"/>
      <c r="I51" s="26"/>
      <c r="J51" s="26"/>
      <c r="K51" s="26"/>
    </row>
    <row r="52" spans="2:11" x14ac:dyDescent="0.25">
      <c r="B52" s="24"/>
      <c r="C52" s="31" t="s">
        <v>73</v>
      </c>
      <c r="D52" s="25">
        <f>[1]транспортування!I71</f>
        <v>0</v>
      </c>
      <c r="E52" s="25">
        <f>D52/D59*1000</f>
        <v>0</v>
      </c>
      <c r="F52" s="25">
        <f>D52*G13</f>
        <v>0</v>
      </c>
      <c r="G52" s="25">
        <f>F52/F59*1000</f>
        <v>0</v>
      </c>
      <c r="H52" s="25">
        <f>D52*I13</f>
        <v>0</v>
      </c>
      <c r="I52" s="25">
        <f>H52/H59*1000</f>
        <v>0</v>
      </c>
      <c r="J52" s="25">
        <f>D52*K13</f>
        <v>0</v>
      </c>
      <c r="K52" s="25">
        <f>J52/J59*1000</f>
        <v>0</v>
      </c>
    </row>
    <row r="53" spans="2:11" x14ac:dyDescent="0.25">
      <c r="B53" s="17" t="s">
        <v>74</v>
      </c>
      <c r="C53" s="29" t="s">
        <v>75</v>
      </c>
      <c r="D53" s="18">
        <f>D48-D49-D52</f>
        <v>2155.1732000000002</v>
      </c>
      <c r="E53" s="18">
        <f>E48-E49</f>
        <v>109.92416607161073</v>
      </c>
      <c r="F53" s="18">
        <f t="shared" ref="F53:K53" si="7">F48-F49</f>
        <v>1669.8643999999999</v>
      </c>
      <c r="G53" s="18">
        <f t="shared" si="7"/>
        <v>103.46123915737297</v>
      </c>
      <c r="H53" s="18">
        <f t="shared" si="7"/>
        <v>400.25020000000001</v>
      </c>
      <c r="I53" s="18">
        <f t="shared" si="7"/>
        <v>141.03248766737138</v>
      </c>
      <c r="J53" s="18">
        <f t="shared" si="7"/>
        <v>85.050399999999996</v>
      </c>
      <c r="K53" s="18">
        <f t="shared" si="7"/>
        <v>135.43877324840764</v>
      </c>
    </row>
    <row r="54" spans="2:11" x14ac:dyDescent="0.25">
      <c r="B54" s="21" t="s">
        <v>76</v>
      </c>
      <c r="C54" s="32" t="s">
        <v>77</v>
      </c>
      <c r="D54" s="26"/>
      <c r="E54" s="26"/>
      <c r="F54" s="26"/>
      <c r="G54" s="26"/>
      <c r="H54" s="26"/>
      <c r="I54" s="26"/>
      <c r="J54" s="26"/>
      <c r="K54" s="26"/>
    </row>
    <row r="55" spans="2:11" x14ac:dyDescent="0.25">
      <c r="B55" s="24"/>
      <c r="C55" s="33" t="s">
        <v>78</v>
      </c>
      <c r="D55" s="34">
        <f>D46+D48-0.01</f>
        <v>68334.657792373691</v>
      </c>
      <c r="E55" s="34">
        <f>D55/D59*1000+0.01</f>
        <v>3485.405174557467</v>
      </c>
      <c r="F55" s="34">
        <f>F46+F48</f>
        <v>52946.884516526014</v>
      </c>
      <c r="G55" s="34">
        <f>G46+G48+0.01</f>
        <v>3280.4831051131368</v>
      </c>
      <c r="H55" s="34">
        <f>H46+H48</f>
        <v>12690.94444064709</v>
      </c>
      <c r="I55" s="34">
        <f>I46+I48</f>
        <v>4471.7860467396376</v>
      </c>
      <c r="J55" s="34">
        <f>J46+J48</f>
        <v>2696.8374517631951</v>
      </c>
      <c r="K55" s="34">
        <f>K46+K48</f>
        <v>4294.3406556738764</v>
      </c>
    </row>
    <row r="56" spans="2:11" x14ac:dyDescent="0.25">
      <c r="B56" s="17" t="s">
        <v>79</v>
      </c>
      <c r="C56" s="15" t="s">
        <v>80</v>
      </c>
      <c r="D56" s="16">
        <f>D55/D59*1000</f>
        <v>3485.3951745574668</v>
      </c>
      <c r="E56" s="16"/>
      <c r="F56" s="16">
        <f>F55/F59*1000</f>
        <v>3280.4761162655523</v>
      </c>
      <c r="G56" s="16"/>
      <c r="H56" s="16">
        <f>H55/H59*1000</f>
        <v>4471.791557662822</v>
      </c>
      <c r="I56" s="16"/>
      <c r="J56" s="16">
        <f>J55/J59*1000+0.01</f>
        <v>4294.3371524891645</v>
      </c>
      <c r="K56" s="16"/>
    </row>
    <row r="57" spans="2:11" x14ac:dyDescent="0.25">
      <c r="B57" s="17" t="s">
        <v>81</v>
      </c>
      <c r="C57" s="15" t="s">
        <v>82</v>
      </c>
      <c r="D57" s="16">
        <f>D21*100/D46</f>
        <v>44.808993504918512</v>
      </c>
      <c r="E57" s="16"/>
      <c r="F57" s="16">
        <f>F21*100/F46-0.01</f>
        <v>41.352223357849098</v>
      </c>
      <c r="G57" s="16"/>
      <c r="H57" s="16">
        <f>H21*100/H55</f>
        <v>54.801172494514418</v>
      </c>
      <c r="I57" s="16"/>
      <c r="J57" s="16">
        <f>J21*100/J46</f>
        <v>55.141789366646023</v>
      </c>
      <c r="K57" s="16"/>
    </row>
    <row r="58" spans="2:11" x14ac:dyDescent="0.25">
      <c r="B58" s="17" t="s">
        <v>83</v>
      </c>
      <c r="C58" s="15" t="s">
        <v>84</v>
      </c>
      <c r="D58" s="16">
        <f>100-D57</f>
        <v>55.191006495081488</v>
      </c>
      <c r="E58" s="16"/>
      <c r="F58" s="16">
        <f>100-F57</f>
        <v>58.647776642150902</v>
      </c>
      <c r="G58" s="16"/>
      <c r="H58" s="16">
        <f>100-H57</f>
        <v>45.198827505485582</v>
      </c>
      <c r="I58" s="16"/>
      <c r="J58" s="16">
        <f>100-J57</f>
        <v>44.858210633353977</v>
      </c>
      <c r="K58" s="16"/>
    </row>
    <row r="59" spans="2:11" x14ac:dyDescent="0.25">
      <c r="B59" s="17" t="s">
        <v>85</v>
      </c>
      <c r="C59" s="15" t="s">
        <v>86</v>
      </c>
      <c r="D59" s="28">
        <v>19606</v>
      </c>
      <c r="E59" s="28"/>
      <c r="F59" s="28">
        <v>16140</v>
      </c>
      <c r="G59" s="28"/>
      <c r="H59" s="28">
        <v>2838</v>
      </c>
      <c r="I59" s="28"/>
      <c r="J59" s="28">
        <v>628</v>
      </c>
      <c r="K59" s="28"/>
    </row>
    <row r="60" spans="2:11" x14ac:dyDescent="0.25">
      <c r="B60" s="17" t="s">
        <v>87</v>
      </c>
      <c r="C60" s="15" t="s">
        <v>88</v>
      </c>
      <c r="D60" s="28">
        <v>4</v>
      </c>
      <c r="E60" s="28">
        <v>4</v>
      </c>
      <c r="F60" s="28">
        <v>4</v>
      </c>
      <c r="G60" s="28">
        <v>4</v>
      </c>
      <c r="H60" s="28">
        <v>4</v>
      </c>
      <c r="I60" s="28">
        <v>4</v>
      </c>
      <c r="J60" s="28">
        <v>4</v>
      </c>
      <c r="K60" s="28">
        <v>4</v>
      </c>
    </row>
    <row r="61" spans="2:11" x14ac:dyDescent="0.25">
      <c r="B61" s="35"/>
    </row>
    <row r="62" spans="2:11" x14ac:dyDescent="0.25">
      <c r="B62" s="35"/>
    </row>
    <row r="63" spans="2:11" x14ac:dyDescent="0.25">
      <c r="B63" s="35"/>
      <c r="C63" s="45" t="s">
        <v>93</v>
      </c>
      <c r="H63" s="46" t="s">
        <v>94</v>
      </c>
      <c r="I63" s="46"/>
      <c r="J63" s="46"/>
      <c r="K63" s="46"/>
    </row>
    <row r="64" spans="2:11" x14ac:dyDescent="0.25">
      <c r="B64" s="35"/>
    </row>
    <row r="65" spans="2:2" x14ac:dyDescent="0.25">
      <c r="B65" s="35"/>
    </row>
    <row r="66" spans="2:2" x14ac:dyDescent="0.25">
      <c r="B66" s="35"/>
    </row>
    <row r="67" spans="2:2" x14ac:dyDescent="0.25">
      <c r="B67" s="35"/>
    </row>
    <row r="68" spans="2:2" x14ac:dyDescent="0.25">
      <c r="B68" s="35"/>
    </row>
    <row r="69" spans="2:2" x14ac:dyDescent="0.25">
      <c r="B69" s="35"/>
    </row>
    <row r="70" spans="2:2" x14ac:dyDescent="0.25">
      <c r="B70" s="35"/>
    </row>
    <row r="71" spans="2:2" x14ac:dyDescent="0.25">
      <c r="B71" s="35"/>
    </row>
    <row r="72" spans="2:2" x14ac:dyDescent="0.25">
      <c r="B72" s="35"/>
    </row>
    <row r="73" spans="2:2" x14ac:dyDescent="0.25">
      <c r="B73" s="35"/>
    </row>
    <row r="74" spans="2:2" x14ac:dyDescent="0.25">
      <c r="B74" s="35"/>
    </row>
    <row r="75" spans="2:2" x14ac:dyDescent="0.25">
      <c r="B75" s="35"/>
    </row>
    <row r="76" spans="2:2" x14ac:dyDescent="0.25">
      <c r="B76" s="35"/>
    </row>
    <row r="77" spans="2:2" x14ac:dyDescent="0.25">
      <c r="B77" s="35"/>
    </row>
    <row r="78" spans="2:2" x14ac:dyDescent="0.25">
      <c r="B78" s="35"/>
    </row>
    <row r="79" spans="2:2" x14ac:dyDescent="0.25">
      <c r="B79" s="35"/>
    </row>
    <row r="80" spans="2:2" x14ac:dyDescent="0.25">
      <c r="B80" s="35"/>
    </row>
    <row r="81" spans="2:2" x14ac:dyDescent="0.25">
      <c r="B81" s="35"/>
    </row>
    <row r="82" spans="2:2" x14ac:dyDescent="0.25">
      <c r="B82" s="35"/>
    </row>
    <row r="83" spans="2:2" x14ac:dyDescent="0.25">
      <c r="B83" s="35"/>
    </row>
    <row r="84" spans="2:2" x14ac:dyDescent="0.25">
      <c r="B84" s="35"/>
    </row>
    <row r="85" spans="2:2" x14ac:dyDescent="0.25">
      <c r="B85" s="35"/>
    </row>
    <row r="86" spans="2:2" x14ac:dyDescent="0.25">
      <c r="B86" s="35"/>
    </row>
    <row r="87" spans="2:2" x14ac:dyDescent="0.25">
      <c r="B87" s="35"/>
    </row>
    <row r="88" spans="2:2" x14ac:dyDescent="0.25">
      <c r="B88" s="35"/>
    </row>
    <row r="89" spans="2:2" x14ac:dyDescent="0.25">
      <c r="B89" s="35"/>
    </row>
    <row r="90" spans="2:2" x14ac:dyDescent="0.25">
      <c r="B90" s="35"/>
    </row>
    <row r="91" spans="2:2" x14ac:dyDescent="0.25">
      <c r="B91" s="35"/>
    </row>
    <row r="92" spans="2:2" x14ac:dyDescent="0.25">
      <c r="B92" s="35"/>
    </row>
    <row r="93" spans="2:2" x14ac:dyDescent="0.25">
      <c r="B93" s="35"/>
    </row>
    <row r="94" spans="2:2" x14ac:dyDescent="0.25">
      <c r="B94" s="35"/>
    </row>
    <row r="95" spans="2:2" x14ac:dyDescent="0.25">
      <c r="B95" s="35"/>
    </row>
    <row r="96" spans="2:2" x14ac:dyDescent="0.25">
      <c r="B96" s="35"/>
    </row>
    <row r="97" spans="2:2" x14ac:dyDescent="0.25">
      <c r="B97" s="35"/>
    </row>
    <row r="98" spans="2:2" x14ac:dyDescent="0.25">
      <c r="B98" s="35"/>
    </row>
    <row r="99" spans="2:2" x14ac:dyDescent="0.25">
      <c r="B99" s="35"/>
    </row>
    <row r="100" spans="2:2" x14ac:dyDescent="0.25">
      <c r="B100" s="35"/>
    </row>
    <row r="101" spans="2:2" x14ac:dyDescent="0.25">
      <c r="B101" s="35"/>
    </row>
    <row r="102" spans="2:2" x14ac:dyDescent="0.25">
      <c r="B102" s="35"/>
    </row>
    <row r="103" spans="2:2" x14ac:dyDescent="0.25">
      <c r="B103" s="35"/>
    </row>
    <row r="104" spans="2:2" x14ac:dyDescent="0.25">
      <c r="B104" s="35"/>
    </row>
    <row r="105" spans="2:2" x14ac:dyDescent="0.25">
      <c r="B105" s="35"/>
    </row>
    <row r="106" spans="2:2" x14ac:dyDescent="0.25">
      <c r="B106" s="35"/>
    </row>
    <row r="107" spans="2:2" x14ac:dyDescent="0.25">
      <c r="B107" s="35"/>
    </row>
    <row r="108" spans="2:2" x14ac:dyDescent="0.25">
      <c r="B108" s="35"/>
    </row>
  </sheetData>
  <mergeCells count="13">
    <mergeCell ref="H63:K63"/>
    <mergeCell ref="D15:E15"/>
    <mergeCell ref="F15:G15"/>
    <mergeCell ref="H15:I15"/>
    <mergeCell ref="J15:K15"/>
    <mergeCell ref="I2:J2"/>
    <mergeCell ref="H3:J3"/>
    <mergeCell ref="H4:J4"/>
    <mergeCell ref="H5:J5"/>
    <mergeCell ref="D14:E14"/>
    <mergeCell ref="F14:G14"/>
    <mergeCell ref="H14:I14"/>
    <mergeCell ref="J14:K14"/>
  </mergeCells>
  <pageMargins left="0.70866141732283472" right="0.70866141732283472" top="0.74803149606299213" bottom="0.74803149606299213" header="0.31496062992125984" footer="0.31496062992125984"/>
  <pageSetup paperSize="9" scale="62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2025-08-14T13:53:47Z</dcterms:modified>
</cp:coreProperties>
</file>