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5 сесія від 23.10.2025р\РІШЕННЯ\"/>
    </mc:Choice>
  </mc:AlternateContent>
  <bookViews>
    <workbookView xWindow="0" yWindow="0" windowWidth="28800" windowHeight="11610" activeTab="5"/>
  </bookViews>
  <sheets>
    <sheet name="Догляд вдома" sheetId="4" r:id="rId1"/>
    <sheet name="надання притулку" sheetId="7" r:id="rId2"/>
    <sheet name="кризове втручання" sheetId="10" r:id="rId3"/>
    <sheet name="натуральна перукар" sheetId="14" r:id="rId4"/>
    <sheet name="натуральна допомога" sheetId="15" r:id="rId5"/>
    <sheet name="Тарифи" sheetId="21" r:id="rId6"/>
    <sheet name="Тимчасове перебування Троїцьке" sheetId="8" state="hidden" r:id="rId7"/>
  </sheets>
  <definedNames>
    <definedName name="_ftn1_1" localSheetId="1">#REF!</definedName>
    <definedName name="_ftn1_1" localSheetId="6">#REF!</definedName>
    <definedName name="_ftn1_1">#REF!</definedName>
    <definedName name="_ftn2_1" localSheetId="1">#REF!</definedName>
    <definedName name="_ftn2_1" localSheetId="6">#REF!</definedName>
    <definedName name="_ftn2_1">#REF!</definedName>
    <definedName name="_ftn3_1" localSheetId="1">#REF!</definedName>
    <definedName name="_ftn3_1" localSheetId="6">#REF!</definedName>
    <definedName name="_ftn3_1">#REF!</definedName>
    <definedName name="_ftn4_1" localSheetId="1">#REF!</definedName>
    <definedName name="_ftn4_1" localSheetId="6">#REF!</definedName>
    <definedName name="_ftn4_1">#REF!</definedName>
    <definedName name="_ftn5_1" localSheetId="1">#REF!</definedName>
    <definedName name="_ftn5_1" localSheetId="6">#REF!</definedName>
    <definedName name="_ftn5_1">#REF!</definedName>
    <definedName name="_ftn6_1" localSheetId="1">#REF!</definedName>
    <definedName name="_ftn6_1" localSheetId="6">#REF!</definedName>
    <definedName name="_ftn6_1">#REF!</definedName>
    <definedName name="_ftnref1_1" localSheetId="1">#REF!</definedName>
    <definedName name="_ftnref1_1" localSheetId="6">#REF!</definedName>
    <definedName name="_ftnref1_1">#REF!</definedName>
    <definedName name="_ftnref2_1" localSheetId="1">#REF!</definedName>
    <definedName name="_ftnref2_1" localSheetId="6">#REF!</definedName>
    <definedName name="_ftnref2_1">#REF!</definedName>
    <definedName name="_ftnref3_1" localSheetId="1">#REF!</definedName>
    <definedName name="_ftnref3_1" localSheetId="6">#REF!</definedName>
    <definedName name="_ftnref3_1">#REF!</definedName>
    <definedName name="_ftnref4_1" localSheetId="1">#REF!</definedName>
    <definedName name="_ftnref4_1" localSheetId="6">#REF!</definedName>
    <definedName name="_ftnref4_1">#REF!</definedName>
    <definedName name="_ftnref5_1" localSheetId="1">#REF!</definedName>
    <definedName name="_ftnref5_1" localSheetId="6">#REF!</definedName>
    <definedName name="_ftnref5_1">#REF!</definedName>
    <definedName name="_ftnref6_1" localSheetId="1">#REF!</definedName>
    <definedName name="_ftnref6_1" localSheetId="6">#REF!</definedName>
    <definedName name="_ftnref6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6" roundtripDataSignature="AMtx7miWRR60jyeP20xqPYn2325EU3wa7A=="/>
    </ext>
  </extLst>
</workbook>
</file>

<file path=xl/calcChain.xml><?xml version="1.0" encoding="utf-8"?>
<calcChain xmlns="http://schemas.openxmlformats.org/spreadsheetml/2006/main">
  <c r="E81" i="21" l="1"/>
  <c r="E80" i="21"/>
  <c r="F80" i="21" s="1"/>
  <c r="E91" i="21" l="1"/>
  <c r="E90" i="21"/>
  <c r="E89" i="21"/>
  <c r="E88" i="21"/>
  <c r="E87" i="21"/>
  <c r="E86" i="21"/>
  <c r="E85" i="21"/>
  <c r="E84" i="21"/>
  <c r="E83" i="21"/>
  <c r="E79" i="21"/>
  <c r="E78" i="21"/>
  <c r="F78" i="21" s="1"/>
  <c r="E75" i="21"/>
  <c r="E74" i="21"/>
  <c r="E72" i="21"/>
  <c r="E71" i="21"/>
  <c r="E70" i="21"/>
  <c r="E68" i="21"/>
  <c r="E67" i="21"/>
  <c r="E66" i="21"/>
  <c r="E65" i="21"/>
  <c r="E64" i="21"/>
  <c r="E63" i="21"/>
  <c r="E62" i="21"/>
  <c r="E61" i="21"/>
  <c r="E60" i="21"/>
  <c r="E59" i="21"/>
  <c r="F59" i="21" s="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0" i="21"/>
  <c r="E29" i="21"/>
  <c r="E28" i="21"/>
  <c r="E27" i="21"/>
  <c r="E26" i="21"/>
  <c r="E25" i="21"/>
  <c r="E24" i="21"/>
  <c r="E23" i="21"/>
  <c r="E22" i="21"/>
  <c r="E21" i="21"/>
  <c r="E18" i="21"/>
  <c r="E16" i="21"/>
  <c r="E15" i="21"/>
  <c r="E14" i="21"/>
  <c r="E13" i="21"/>
  <c r="E12" i="21"/>
  <c r="E11" i="21"/>
  <c r="E9" i="21"/>
  <c r="E19" i="21"/>
  <c r="E17" i="21"/>
  <c r="E10" i="21"/>
  <c r="C106" i="15" l="1"/>
  <c r="D106" i="15" s="1"/>
  <c r="C105" i="15"/>
  <c r="D105" i="15" s="1"/>
  <c r="C104" i="15"/>
  <c r="D104" i="15" s="1"/>
  <c r="C103" i="15"/>
  <c r="D103" i="15" s="1"/>
  <c r="C102" i="15"/>
  <c r="D102" i="15" s="1"/>
  <c r="C101" i="15"/>
  <c r="D101" i="15" s="1"/>
  <c r="C100" i="15"/>
  <c r="D100" i="15" s="1"/>
  <c r="C99" i="15"/>
  <c r="D99" i="15" s="1"/>
  <c r="B98" i="15"/>
  <c r="C97" i="15"/>
  <c r="D97" i="15" s="1"/>
  <c r="C96" i="15"/>
  <c r="D96" i="15" s="1"/>
  <c r="C95" i="15"/>
  <c r="D95" i="15" s="1"/>
  <c r="C94" i="15"/>
  <c r="D94" i="15" s="1"/>
  <c r="C93" i="15"/>
  <c r="D93" i="15" s="1"/>
  <c r="D92" i="15"/>
  <c r="D91" i="15"/>
  <c r="C90" i="15"/>
  <c r="D90" i="15" s="1"/>
  <c r="C89" i="15"/>
  <c r="D89" i="15" s="1"/>
  <c r="D88" i="15"/>
  <c r="C87" i="15"/>
  <c r="D87" i="15" s="1"/>
  <c r="B86" i="15"/>
  <c r="B107" i="15" s="1"/>
  <c r="C107" i="14"/>
  <c r="D107" i="14" s="1"/>
  <c r="C106" i="14"/>
  <c r="D106" i="14" s="1"/>
  <c r="C105" i="14"/>
  <c r="D105" i="14" s="1"/>
  <c r="C104" i="14"/>
  <c r="D104" i="14" s="1"/>
  <c r="C103" i="14"/>
  <c r="D103" i="14" s="1"/>
  <c r="C102" i="14"/>
  <c r="D102" i="14" s="1"/>
  <c r="C101" i="14"/>
  <c r="D101" i="14" s="1"/>
  <c r="C100" i="14"/>
  <c r="D100" i="14" s="1"/>
  <c r="B99" i="14"/>
  <c r="C98" i="14"/>
  <c r="D98" i="14" s="1"/>
  <c r="C97" i="14"/>
  <c r="D97" i="14" s="1"/>
  <c r="C96" i="14"/>
  <c r="D96" i="14" s="1"/>
  <c r="C95" i="14"/>
  <c r="D95" i="14" s="1"/>
  <c r="C94" i="14"/>
  <c r="D94" i="14" s="1"/>
  <c r="D93" i="14"/>
  <c r="D92" i="14"/>
  <c r="C91" i="14"/>
  <c r="D91" i="14" s="1"/>
  <c r="C90" i="14"/>
  <c r="D90" i="14" s="1"/>
  <c r="D89" i="14"/>
  <c r="D88" i="14"/>
  <c r="C88" i="14"/>
  <c r="B87" i="14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B97" i="10"/>
  <c r="C96" i="10"/>
  <c r="D96" i="10" s="1"/>
  <c r="C95" i="10"/>
  <c r="D95" i="10" s="1"/>
  <c r="C94" i="10"/>
  <c r="D94" i="10" s="1"/>
  <c r="C93" i="10"/>
  <c r="D93" i="10" s="1"/>
  <c r="C92" i="10"/>
  <c r="D92" i="10" s="1"/>
  <c r="D91" i="10"/>
  <c r="D90" i="10"/>
  <c r="C89" i="10"/>
  <c r="D89" i="10" s="1"/>
  <c r="C88" i="10"/>
  <c r="D88" i="10" s="1"/>
  <c r="D87" i="10"/>
  <c r="C86" i="10"/>
  <c r="D86" i="10" s="1"/>
  <c r="B85" i="10"/>
  <c r="D178" i="7"/>
  <c r="D179" i="7"/>
  <c r="C180" i="7"/>
  <c r="D180" i="7" s="1"/>
  <c r="D182" i="7"/>
  <c r="D183" i="7"/>
  <c r="D184" i="7"/>
  <c r="D186" i="7"/>
  <c r="C187" i="7"/>
  <c r="D187" i="7" s="1"/>
  <c r="D188" i="7"/>
  <c r="D190" i="7"/>
  <c r="D189" i="7" s="1"/>
  <c r="D192" i="7"/>
  <c r="D193" i="7"/>
  <c r="C195" i="7"/>
  <c r="D195" i="7" s="1"/>
  <c r="D196" i="7"/>
  <c r="D197" i="7"/>
  <c r="D198" i="7"/>
  <c r="C200" i="7"/>
  <c r="D200" i="7"/>
  <c r="D201" i="7"/>
  <c r="D203" i="7"/>
  <c r="D202" i="7" s="1"/>
  <c r="D206" i="7"/>
  <c r="D207" i="7"/>
  <c r="D209" i="7"/>
  <c r="D208" i="7" s="1"/>
  <c r="D210" i="7"/>
  <c r="D211" i="7"/>
  <c r="C153" i="7"/>
  <c r="D153" i="7" s="1"/>
  <c r="C152" i="7"/>
  <c r="D152" i="7" s="1"/>
  <c r="C151" i="7"/>
  <c r="D151" i="7" s="1"/>
  <c r="C150" i="7"/>
  <c r="D150" i="7" s="1"/>
  <c r="C149" i="7"/>
  <c r="D149" i="7" s="1"/>
  <c r="C148" i="7"/>
  <c r="D148" i="7" s="1"/>
  <c r="C147" i="7"/>
  <c r="D147" i="7" s="1"/>
  <c r="C146" i="7"/>
  <c r="D146" i="7" s="1"/>
  <c r="B145" i="7"/>
  <c r="B154" i="7" s="1"/>
  <c r="C144" i="7"/>
  <c r="D144" i="7" s="1"/>
  <c r="C143" i="7"/>
  <c r="D143" i="7" s="1"/>
  <c r="C142" i="7"/>
  <c r="D142" i="7" s="1"/>
  <c r="C141" i="7"/>
  <c r="D141" i="7" s="1"/>
  <c r="C140" i="7"/>
  <c r="D140" i="7" s="1"/>
  <c r="D139" i="7"/>
  <c r="D138" i="7"/>
  <c r="C137" i="7"/>
  <c r="D137" i="7" s="1"/>
  <c r="C136" i="7"/>
  <c r="D136" i="7" s="1"/>
  <c r="D135" i="7"/>
  <c r="C134" i="7"/>
  <c r="D134" i="7" s="1"/>
  <c r="B133" i="7"/>
  <c r="D191" i="7" l="1"/>
  <c r="B108" i="14"/>
  <c r="D199" i="7"/>
  <c r="D181" i="7"/>
  <c r="B106" i="10"/>
  <c r="D205" i="7"/>
  <c r="D194" i="7"/>
  <c r="D98" i="15"/>
  <c r="D99" i="14"/>
  <c r="D86" i="15"/>
  <c r="D87" i="14"/>
  <c r="D85" i="10"/>
  <c r="D97" i="10"/>
  <c r="D185" i="7"/>
  <c r="D177" i="7"/>
  <c r="D133" i="7"/>
  <c r="D145" i="7"/>
  <c r="D108" i="14" l="1"/>
  <c r="D106" i="10"/>
  <c r="D107" i="15"/>
  <c r="D108" i="15"/>
  <c r="D109" i="15" s="1"/>
  <c r="D109" i="14"/>
  <c r="D110" i="14" s="1"/>
  <c r="D107" i="10"/>
  <c r="D108" i="10" s="1"/>
  <c r="D154" i="7"/>
  <c r="D155" i="7" l="1"/>
  <c r="D156" i="7" s="1"/>
  <c r="D93" i="4" l="1"/>
  <c r="B99" i="4"/>
  <c r="C100" i="4"/>
  <c r="D100" i="4" s="1"/>
  <c r="D89" i="4"/>
  <c r="F28" i="21" l="1"/>
  <c r="F25" i="21"/>
  <c r="F24" i="21"/>
  <c r="F23" i="21"/>
  <c r="F11" i="21"/>
  <c r="F83" i="21"/>
  <c r="F85" i="21"/>
  <c r="F86" i="21"/>
  <c r="F88" i="21"/>
  <c r="F89" i="21"/>
  <c r="F90" i="21"/>
  <c r="F91" i="21"/>
  <c r="F87" i="21"/>
  <c r="F84" i="21"/>
  <c r="F79" i="21"/>
  <c r="F81" i="21"/>
  <c r="F72" i="21"/>
  <c r="F67" i="21"/>
  <c r="F63" i="21"/>
  <c r="F71" i="21"/>
  <c r="E73" i="21"/>
  <c r="F73" i="21" s="1"/>
  <c r="F74" i="21"/>
  <c r="F75" i="21"/>
  <c r="F70" i="21"/>
  <c r="F60" i="21"/>
  <c r="F61" i="21"/>
  <c r="F62" i="21"/>
  <c r="F64" i="21"/>
  <c r="F65" i="21"/>
  <c r="F66" i="21"/>
  <c r="F68" i="21"/>
  <c r="F49" i="21"/>
  <c r="F47" i="21"/>
  <c r="F40" i="21"/>
  <c r="F39" i="21"/>
  <c r="F46" i="21"/>
  <c r="F22" i="21"/>
  <c r="F26" i="21"/>
  <c r="F27" i="21"/>
  <c r="F29" i="21"/>
  <c r="F30" i="21"/>
  <c r="F32" i="21"/>
  <c r="F33" i="21"/>
  <c r="F34" i="21"/>
  <c r="F35" i="21"/>
  <c r="F36" i="21"/>
  <c r="F37" i="21"/>
  <c r="F38" i="21"/>
  <c r="F41" i="21"/>
  <c r="F42" i="21"/>
  <c r="F43" i="21"/>
  <c r="F44" i="21"/>
  <c r="F45" i="21"/>
  <c r="F48" i="21"/>
  <c r="F50" i="21"/>
  <c r="F51" i="21"/>
  <c r="F52" i="21"/>
  <c r="F53" i="21"/>
  <c r="F21" i="21"/>
  <c r="F16" i="21"/>
  <c r="F17" i="21"/>
  <c r="F18" i="21"/>
  <c r="F19" i="21"/>
  <c r="F15" i="21"/>
  <c r="F14" i="21"/>
  <c r="F13" i="21"/>
  <c r="F12" i="21"/>
  <c r="F10" i="21"/>
  <c r="F9" i="21"/>
  <c r="B14" i="4"/>
  <c r="D15" i="4"/>
  <c r="D16" i="4"/>
  <c r="B19" i="4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B26" i="4"/>
  <c r="D27" i="4"/>
  <c r="D28" i="4"/>
  <c r="D29" i="4"/>
  <c r="D30" i="4"/>
  <c r="D31" i="4"/>
  <c r="D32" i="4"/>
  <c r="B34" i="4"/>
  <c r="D35" i="4"/>
  <c r="D36" i="4"/>
  <c r="D37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1" i="4"/>
  <c r="D60" i="4" s="1"/>
  <c r="D63" i="4"/>
  <c r="D64" i="4"/>
  <c r="D66" i="4"/>
  <c r="D67" i="4"/>
  <c r="D74" i="4"/>
  <c r="D75" i="4"/>
  <c r="D77" i="4"/>
  <c r="D76" i="4" s="1"/>
  <c r="D78" i="4"/>
  <c r="D79" i="4"/>
  <c r="B87" i="4"/>
  <c r="B108" i="4" s="1"/>
  <c r="C88" i="4"/>
  <c r="D88" i="4" s="1"/>
  <c r="C90" i="4"/>
  <c r="D90" i="4" s="1"/>
  <c r="C91" i="4"/>
  <c r="D91" i="4" s="1"/>
  <c r="D92" i="4"/>
  <c r="C94" i="4"/>
  <c r="D94" i="4" s="1"/>
  <c r="C95" i="4"/>
  <c r="D95" i="4" s="1"/>
  <c r="C96" i="4"/>
  <c r="D96" i="4" s="1"/>
  <c r="C97" i="4"/>
  <c r="D97" i="4" s="1"/>
  <c r="C98" i="4"/>
  <c r="D98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D115" i="4"/>
  <c r="D116" i="4"/>
  <c r="D117" i="4"/>
  <c r="D118" i="4"/>
  <c r="D120" i="4"/>
  <c r="D121" i="4"/>
  <c r="D122" i="4"/>
  <c r="D123" i="4"/>
  <c r="D124" i="4"/>
  <c r="D126" i="4"/>
  <c r="D127" i="4"/>
  <c r="D134" i="4"/>
  <c r="D135" i="4"/>
  <c r="C136" i="4"/>
  <c r="D136" i="4" s="1"/>
  <c r="D138" i="4"/>
  <c r="D139" i="4"/>
  <c r="D140" i="4"/>
  <c r="D142" i="4"/>
  <c r="C143" i="4"/>
  <c r="D143" i="4" s="1"/>
  <c r="D144" i="4"/>
  <c r="D146" i="4"/>
  <c r="D145" i="4" s="1"/>
  <c r="D148" i="4"/>
  <c r="D149" i="4"/>
  <c r="C151" i="4"/>
  <c r="D151" i="4" s="1"/>
  <c r="D152" i="4"/>
  <c r="D153" i="4"/>
  <c r="D154" i="4"/>
  <c r="C156" i="4"/>
  <c r="D156" i="4"/>
  <c r="D157" i="4"/>
  <c r="D159" i="4"/>
  <c r="D158" i="4" s="1"/>
  <c r="D162" i="4"/>
  <c r="G162" i="4"/>
  <c r="D163" i="4"/>
  <c r="D165" i="4"/>
  <c r="D166" i="4"/>
  <c r="D167" i="4"/>
  <c r="C195" i="4"/>
  <c r="D137" i="4" l="1"/>
  <c r="D150" i="4"/>
  <c r="D161" i="4"/>
  <c r="D164" i="4"/>
  <c r="D155" i="4"/>
  <c r="D147" i="4"/>
  <c r="D125" i="4"/>
  <c r="D73" i="4"/>
  <c r="D72" i="4" s="1"/>
  <c r="D81" i="4" s="1"/>
  <c r="B183" i="4" s="1"/>
  <c r="D62" i="4"/>
  <c r="D119" i="4"/>
  <c r="D114" i="4"/>
  <c r="D65" i="4"/>
  <c r="D34" i="4"/>
  <c r="D52" i="4"/>
  <c r="D44" i="4"/>
  <c r="D26" i="4"/>
  <c r="B13" i="4"/>
  <c r="B38" i="4" s="1"/>
  <c r="B40" i="4" s="1"/>
  <c r="D14" i="4"/>
  <c r="D141" i="4"/>
  <c r="D99" i="4"/>
  <c r="D87" i="4"/>
  <c r="D19" i="4"/>
  <c r="D133" i="4"/>
  <c r="C193" i="15"/>
  <c r="D165" i="15"/>
  <c r="D164" i="15"/>
  <c r="D163" i="15"/>
  <c r="D161" i="15"/>
  <c r="D160" i="15"/>
  <c r="D157" i="15"/>
  <c r="D156" i="15" s="1"/>
  <c r="D155" i="15"/>
  <c r="D154" i="15"/>
  <c r="D152" i="15"/>
  <c r="D151" i="15"/>
  <c r="D150" i="15"/>
  <c r="D149" i="15"/>
  <c r="D147" i="15"/>
  <c r="D146" i="15"/>
  <c r="D144" i="15"/>
  <c r="D143" i="15" s="1"/>
  <c r="D142" i="15"/>
  <c r="D141" i="15"/>
  <c r="D140" i="15"/>
  <c r="D138" i="15"/>
  <c r="D137" i="15"/>
  <c r="D136" i="15"/>
  <c r="D134" i="15"/>
  <c r="D133" i="15"/>
  <c r="D132" i="15"/>
  <c r="D125" i="15"/>
  <c r="D124" i="15"/>
  <c r="D122" i="15"/>
  <c r="D121" i="15"/>
  <c r="D120" i="15"/>
  <c r="D119" i="15"/>
  <c r="D118" i="15"/>
  <c r="D116" i="15"/>
  <c r="D115" i="15"/>
  <c r="D114" i="15"/>
  <c r="D113" i="15"/>
  <c r="D78" i="15"/>
  <c r="D77" i="15"/>
  <c r="D76" i="15"/>
  <c r="D75" i="15" s="1"/>
  <c r="D74" i="15"/>
  <c r="D73" i="15"/>
  <c r="D66" i="15"/>
  <c r="D65" i="15"/>
  <c r="D63" i="15"/>
  <c r="D62" i="15"/>
  <c r="D60" i="15"/>
  <c r="D59" i="15" s="1"/>
  <c r="D58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37" i="15"/>
  <c r="D36" i="15"/>
  <c r="D35" i="15"/>
  <c r="B34" i="15"/>
  <c r="D32" i="15"/>
  <c r="D31" i="15"/>
  <c r="D30" i="15"/>
  <c r="D29" i="15"/>
  <c r="D28" i="15"/>
  <c r="D27" i="15"/>
  <c r="B26" i="15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B19" i="15"/>
  <c r="D16" i="15"/>
  <c r="D15" i="15"/>
  <c r="B14" i="15"/>
  <c r="C194" i="14"/>
  <c r="D166" i="14"/>
  <c r="D165" i="14"/>
  <c r="D164" i="14"/>
  <c r="D162" i="14"/>
  <c r="D161" i="14"/>
  <c r="D158" i="14"/>
  <c r="D157" i="14" s="1"/>
  <c r="D156" i="14"/>
  <c r="D155" i="14"/>
  <c r="D153" i="14"/>
  <c r="D152" i="14"/>
  <c r="D151" i="14"/>
  <c r="D150" i="14"/>
  <c r="D148" i="14"/>
  <c r="D147" i="14"/>
  <c r="D145" i="14"/>
  <c r="D144" i="14" s="1"/>
  <c r="D143" i="14"/>
  <c r="D142" i="14"/>
  <c r="D141" i="14"/>
  <c r="D139" i="14"/>
  <c r="D138" i="14"/>
  <c r="D137" i="14"/>
  <c r="D135" i="14"/>
  <c r="D134" i="14"/>
  <c r="D133" i="14"/>
  <c r="D126" i="14"/>
  <c r="D125" i="14"/>
  <c r="D123" i="14"/>
  <c r="D122" i="14"/>
  <c r="D121" i="14"/>
  <c r="D120" i="14"/>
  <c r="D119" i="14"/>
  <c r="D117" i="14"/>
  <c r="D116" i="14"/>
  <c r="D115" i="14"/>
  <c r="D114" i="14"/>
  <c r="D79" i="14"/>
  <c r="D78" i="14"/>
  <c r="D77" i="14"/>
  <c r="D76" i="14" s="1"/>
  <c r="D75" i="14"/>
  <c r="D74" i="14"/>
  <c r="D67" i="14"/>
  <c r="D66" i="14"/>
  <c r="D64" i="14"/>
  <c r="D63" i="14"/>
  <c r="D61" i="14"/>
  <c r="D60" i="14"/>
  <c r="D59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37" i="14"/>
  <c r="D36" i="14"/>
  <c r="D35" i="14"/>
  <c r="B34" i="14"/>
  <c r="D32" i="14"/>
  <c r="D31" i="14"/>
  <c r="D30" i="14"/>
  <c r="D29" i="14"/>
  <c r="D28" i="14"/>
  <c r="D27" i="14"/>
  <c r="B26" i="14"/>
  <c r="C25" i="14"/>
  <c r="D25" i="14" s="1"/>
  <c r="C24" i="14"/>
  <c r="D24" i="14" s="1"/>
  <c r="C23" i="14"/>
  <c r="D23" i="14" s="1"/>
  <c r="C22" i="14"/>
  <c r="D22" i="14" s="1"/>
  <c r="C21" i="14"/>
  <c r="D21" i="14" s="1"/>
  <c r="C20" i="14"/>
  <c r="D20" i="14" s="1"/>
  <c r="B19" i="14"/>
  <c r="D16" i="14"/>
  <c r="D15" i="14"/>
  <c r="B14" i="14"/>
  <c r="C191" i="10"/>
  <c r="D163" i="10"/>
  <c r="D162" i="10"/>
  <c r="D161" i="10"/>
  <c r="D159" i="10"/>
  <c r="G158" i="10"/>
  <c r="D158" i="10"/>
  <c r="D157" i="10" s="1"/>
  <c r="D155" i="10"/>
  <c r="D154" i="10" s="1"/>
  <c r="D153" i="10"/>
  <c r="D152" i="10"/>
  <c r="D150" i="10"/>
  <c r="D149" i="10"/>
  <c r="D148" i="10"/>
  <c r="D147" i="10"/>
  <c r="D145" i="10"/>
  <c r="D144" i="10"/>
  <c r="D142" i="10"/>
  <c r="D141" i="10" s="1"/>
  <c r="D140" i="10"/>
  <c r="D139" i="10"/>
  <c r="D138" i="10"/>
  <c r="D136" i="10"/>
  <c r="D135" i="10"/>
  <c r="D134" i="10"/>
  <c r="D132" i="10"/>
  <c r="D131" i="10"/>
  <c r="D130" i="10"/>
  <c r="D123" i="10"/>
  <c r="D122" i="10"/>
  <c r="D121" i="10" s="1"/>
  <c r="D120" i="10"/>
  <c r="D119" i="10"/>
  <c r="D118" i="10"/>
  <c r="D117" i="10"/>
  <c r="D116" i="10"/>
  <c r="D114" i="10"/>
  <c r="D113" i="10"/>
  <c r="D112" i="10"/>
  <c r="D77" i="10"/>
  <c r="D76" i="10"/>
  <c r="D75" i="10"/>
  <c r="D74" i="10" s="1"/>
  <c r="D73" i="10"/>
  <c r="D71" i="10" s="1"/>
  <c r="D72" i="10"/>
  <c r="D65" i="10"/>
  <c r="D64" i="10"/>
  <c r="D62" i="10"/>
  <c r="D61" i="10"/>
  <c r="D59" i="10"/>
  <c r="D58" i="10"/>
  <c r="D57" i="10"/>
  <c r="D50" i="10" s="1"/>
  <c r="D56" i="10"/>
  <c r="D55" i="10"/>
  <c r="D54" i="10"/>
  <c r="D53" i="10"/>
  <c r="D52" i="10"/>
  <c r="D51" i="10"/>
  <c r="D49" i="10"/>
  <c r="D48" i="10"/>
  <c r="D47" i="10"/>
  <c r="D46" i="10"/>
  <c r="D45" i="10"/>
  <c r="D37" i="10"/>
  <c r="D36" i="10"/>
  <c r="D35" i="10"/>
  <c r="B34" i="10"/>
  <c r="D32" i="10"/>
  <c r="D31" i="10"/>
  <c r="D30" i="10"/>
  <c r="D29" i="10"/>
  <c r="D28" i="10"/>
  <c r="D27" i="10"/>
  <c r="B26" i="10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B19" i="10"/>
  <c r="D16" i="10"/>
  <c r="D15" i="10"/>
  <c r="B14" i="10"/>
  <c r="C239" i="7"/>
  <c r="G206" i="7"/>
  <c r="D171" i="7"/>
  <c r="D170" i="7"/>
  <c r="D168" i="7"/>
  <c r="D167" i="7"/>
  <c r="D166" i="7"/>
  <c r="D165" i="7"/>
  <c r="D164" i="7"/>
  <c r="D162" i="7"/>
  <c r="D161" i="7"/>
  <c r="D160" i="7"/>
  <c r="D125" i="7"/>
  <c r="D124" i="7"/>
  <c r="D123" i="7"/>
  <c r="D122" i="7" s="1"/>
  <c r="D121" i="7"/>
  <c r="D120" i="7"/>
  <c r="D113" i="7"/>
  <c r="D112" i="7"/>
  <c r="D110" i="7"/>
  <c r="D109" i="7"/>
  <c r="D107" i="7"/>
  <c r="D106" i="7" s="1"/>
  <c r="D105" i="7"/>
  <c r="D104" i="7"/>
  <c r="D103" i="7"/>
  <c r="D102" i="7"/>
  <c r="D101" i="7"/>
  <c r="D100" i="7"/>
  <c r="D99" i="7"/>
  <c r="D97" i="7"/>
  <c r="D96" i="7"/>
  <c r="D95" i="7"/>
  <c r="D94" i="7"/>
  <c r="D93" i="7"/>
  <c r="D37" i="7"/>
  <c r="D36" i="7"/>
  <c r="D35" i="7"/>
  <c r="B34" i="7"/>
  <c r="D32" i="7"/>
  <c r="D31" i="7"/>
  <c r="D30" i="7"/>
  <c r="D29" i="7"/>
  <c r="D28" i="7"/>
  <c r="D27" i="7"/>
  <c r="B26" i="7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B19" i="7"/>
  <c r="D16" i="7"/>
  <c r="D15" i="7"/>
  <c r="B14" i="7"/>
  <c r="D168" i="4" l="1"/>
  <c r="B188" i="4" s="1"/>
  <c r="D73" i="14"/>
  <c r="D72" i="14" s="1"/>
  <c r="D81" i="14" s="1"/>
  <c r="B182" i="14" s="1"/>
  <c r="B13" i="14"/>
  <c r="B12" i="14" s="1"/>
  <c r="D133" i="10"/>
  <c r="D72" i="15"/>
  <c r="D71" i="15" s="1"/>
  <c r="D80" i="15" s="1"/>
  <c r="B181" i="15" s="1"/>
  <c r="D181" i="15" s="1"/>
  <c r="D153" i="15"/>
  <c r="D60" i="10"/>
  <c r="D111" i="10"/>
  <c r="D160" i="10"/>
  <c r="D44" i="10"/>
  <c r="D63" i="10"/>
  <c r="D137" i="10"/>
  <c r="B13" i="10"/>
  <c r="B12" i="10" s="1"/>
  <c r="D162" i="15"/>
  <c r="B13" i="15"/>
  <c r="B12" i="15" s="1"/>
  <c r="D92" i="7"/>
  <c r="D111" i="7"/>
  <c r="D61" i="15"/>
  <c r="D51" i="15"/>
  <c r="D62" i="14"/>
  <c r="D44" i="14"/>
  <c r="D145" i="15"/>
  <c r="D117" i="15"/>
  <c r="D135" i="15"/>
  <c r="D131" i="15" s="1"/>
  <c r="D118" i="14"/>
  <c r="D124" i="14"/>
  <c r="D160" i="14"/>
  <c r="D14" i="10"/>
  <c r="D128" i="4"/>
  <c r="B187" i="4" s="1"/>
  <c r="D68" i="4"/>
  <c r="B182" i="4" s="1"/>
  <c r="E182" i="4" s="1"/>
  <c r="F182" i="4" s="1"/>
  <c r="D108" i="4"/>
  <c r="D109" i="4" s="1"/>
  <c r="D110" i="4" s="1"/>
  <c r="B186" i="4" s="1"/>
  <c r="D13" i="4"/>
  <c r="D38" i="4" s="1"/>
  <c r="B12" i="4"/>
  <c r="E183" i="4"/>
  <c r="F183" i="4" s="1"/>
  <c r="D183" i="4"/>
  <c r="D143" i="10"/>
  <c r="D115" i="10"/>
  <c r="D146" i="10"/>
  <c r="D151" i="10"/>
  <c r="B182" i="10"/>
  <c r="D34" i="10"/>
  <c r="D26" i="10"/>
  <c r="D149" i="14"/>
  <c r="D163" i="14"/>
  <c r="D136" i="14"/>
  <c r="D132" i="14" s="1"/>
  <c r="D146" i="14"/>
  <c r="D65" i="14"/>
  <c r="D52" i="14"/>
  <c r="D34" i="14"/>
  <c r="D26" i="14"/>
  <c r="D19" i="14"/>
  <c r="D112" i="15"/>
  <c r="D148" i="15"/>
  <c r="D159" i="15"/>
  <c r="D123" i="15"/>
  <c r="D139" i="15"/>
  <c r="D44" i="15"/>
  <c r="D64" i="15"/>
  <c r="D34" i="15"/>
  <c r="D26" i="15"/>
  <c r="D14" i="15"/>
  <c r="D19" i="15"/>
  <c r="D154" i="14"/>
  <c r="D140" i="14"/>
  <c r="D113" i="14"/>
  <c r="D14" i="14"/>
  <c r="E182" i="14"/>
  <c r="F182" i="14" s="1"/>
  <c r="D182" i="14"/>
  <c r="B38" i="14"/>
  <c r="B40" i="14" s="1"/>
  <c r="D19" i="10"/>
  <c r="D129" i="10"/>
  <c r="D70" i="10"/>
  <c r="D79" i="10" s="1"/>
  <c r="B179" i="10" s="1"/>
  <c r="B38" i="10"/>
  <c r="B40" i="10" s="1"/>
  <c r="D159" i="7"/>
  <c r="D19" i="7"/>
  <c r="B13" i="7"/>
  <c r="B12" i="7" s="1"/>
  <c r="D34" i="7"/>
  <c r="D98" i="7"/>
  <c r="D108" i="7"/>
  <c r="D163" i="7"/>
  <c r="D26" i="7"/>
  <c r="D119" i="7"/>
  <c r="D118" i="7" s="1"/>
  <c r="D127" i="7" s="1"/>
  <c r="B227" i="7" s="1"/>
  <c r="E227" i="7" s="1"/>
  <c r="F227" i="7" s="1"/>
  <c r="D169" i="7"/>
  <c r="D14" i="7"/>
  <c r="D124" i="10" l="1"/>
  <c r="B183" i="10" s="1"/>
  <c r="D164" i="10"/>
  <c r="B184" i="10" s="1"/>
  <c r="D66" i="10"/>
  <c r="B178" i="10" s="1"/>
  <c r="D68" i="14"/>
  <c r="B181" i="14" s="1"/>
  <c r="D13" i="14"/>
  <c r="D12" i="14" s="1"/>
  <c r="D13" i="15"/>
  <c r="D38" i="15" s="1"/>
  <c r="D172" i="7"/>
  <c r="B231" i="7" s="1"/>
  <c r="B38" i="15"/>
  <c r="B40" i="15" s="1"/>
  <c r="E181" i="15"/>
  <c r="F181" i="15" s="1"/>
  <c r="D67" i="15"/>
  <c r="B180" i="15" s="1"/>
  <c r="E180" i="15" s="1"/>
  <c r="F180" i="15" s="1"/>
  <c r="D166" i="15"/>
  <c r="B186" i="15" s="1"/>
  <c r="D167" i="14"/>
  <c r="B187" i="14" s="1"/>
  <c r="D127" i="14"/>
  <c r="B186" i="14" s="1"/>
  <c r="D13" i="10"/>
  <c r="D12" i="10" s="1"/>
  <c r="D182" i="4"/>
  <c r="D12" i="4"/>
  <c r="B189" i="4"/>
  <c r="D39" i="4"/>
  <c r="D40" i="4" s="1"/>
  <c r="B174" i="4" s="1"/>
  <c r="D126" i="15"/>
  <c r="B185" i="15" s="1"/>
  <c r="D12" i="15"/>
  <c r="B184" i="15"/>
  <c r="B185" i="14"/>
  <c r="E181" i="14"/>
  <c r="F181" i="14" s="1"/>
  <c r="D181" i="14"/>
  <c r="D38" i="14"/>
  <c r="E179" i="10"/>
  <c r="F179" i="10" s="1"/>
  <c r="D179" i="10"/>
  <c r="B185" i="10"/>
  <c r="D212" i="7"/>
  <c r="B232" i="7" s="1"/>
  <c r="D13" i="7"/>
  <c r="D12" i="7" s="1"/>
  <c r="B38" i="7"/>
  <c r="B88" i="7" s="1"/>
  <c r="D227" i="7"/>
  <c r="D114" i="7"/>
  <c r="B226" i="7" s="1"/>
  <c r="E226" i="7" s="1"/>
  <c r="F226" i="7" s="1"/>
  <c r="D178" i="10" l="1"/>
  <c r="E178" i="10"/>
  <c r="F178" i="10" s="1"/>
  <c r="D38" i="7"/>
  <c r="D226" i="7"/>
  <c r="D180" i="15"/>
  <c r="D38" i="10"/>
  <c r="D39" i="10" s="1"/>
  <c r="D40" i="10" s="1"/>
  <c r="B176" i="4"/>
  <c r="B181" i="4"/>
  <c r="B187" i="15"/>
  <c r="D39" i="15"/>
  <c r="D40" i="15" s="1"/>
  <c r="B188" i="14"/>
  <c r="D39" i="14"/>
  <c r="D40" i="14" s="1"/>
  <c r="B230" i="7"/>
  <c r="D39" i="7"/>
  <c r="D88" i="7" s="1"/>
  <c r="D164" i="8"/>
  <c r="D163" i="8"/>
  <c r="D162" i="8"/>
  <c r="D160" i="8"/>
  <c r="D159" i="8"/>
  <c r="D158" i="8" s="1"/>
  <c r="D157" i="8"/>
  <c r="D156" i="8" s="1"/>
  <c r="D155" i="8"/>
  <c r="D154" i="8"/>
  <c r="D153" i="8" s="1"/>
  <c r="D152" i="8"/>
  <c r="D151" i="8"/>
  <c r="D150" i="8"/>
  <c r="D149" i="8"/>
  <c r="D147" i="8"/>
  <c r="D146" i="8"/>
  <c r="D144" i="8"/>
  <c r="D143" i="8" s="1"/>
  <c r="D142" i="8"/>
  <c r="D141" i="8"/>
  <c r="D140" i="8"/>
  <c r="D138" i="8"/>
  <c r="D137" i="8"/>
  <c r="D136" i="8"/>
  <c r="D135" i="8" s="1"/>
  <c r="D134" i="8"/>
  <c r="D133" i="8"/>
  <c r="D132" i="8"/>
  <c r="D125" i="8"/>
  <c r="D124" i="8"/>
  <c r="D123" i="8" s="1"/>
  <c r="D122" i="8"/>
  <c r="D121" i="8"/>
  <c r="D120" i="8"/>
  <c r="D119" i="8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D99" i="8" s="1"/>
  <c r="D98" i="8" s="1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0" i="8" s="1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D33" i="8" s="1"/>
  <c r="D31" i="8"/>
  <c r="C31" i="8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B20" i="8"/>
  <c r="C19" i="8"/>
  <c r="D19" i="8" s="1"/>
  <c r="D18" i="8"/>
  <c r="C18" i="8"/>
  <c r="C17" i="8"/>
  <c r="D17" i="8" s="1"/>
  <c r="C16" i="8"/>
  <c r="D16" i="8" s="1"/>
  <c r="C15" i="8"/>
  <c r="D15" i="8" s="1"/>
  <c r="B14" i="8"/>
  <c r="D161" i="8" l="1"/>
  <c r="D148" i="8"/>
  <c r="D14" i="8"/>
  <c r="D117" i="8"/>
  <c r="B184" i="4"/>
  <c r="D181" i="4"/>
  <c r="C186" i="4"/>
  <c r="D186" i="4" s="1"/>
  <c r="C187" i="4"/>
  <c r="D187" i="4" s="1"/>
  <c r="E187" i="4" s="1"/>
  <c r="C188" i="4"/>
  <c r="D188" i="4" s="1"/>
  <c r="E188" i="4" s="1"/>
  <c r="B179" i="15"/>
  <c r="B172" i="15"/>
  <c r="B174" i="15" s="1"/>
  <c r="B180" i="14"/>
  <c r="B173" i="14"/>
  <c r="B175" i="14" s="1"/>
  <c r="B177" i="10"/>
  <c r="B170" i="10"/>
  <c r="B172" i="10" s="1"/>
  <c r="B225" i="7"/>
  <c r="B218" i="7"/>
  <c r="B220" i="7" s="1"/>
  <c r="B233" i="7"/>
  <c r="D145" i="8"/>
  <c r="D71" i="8"/>
  <c r="D70" i="8" s="1"/>
  <c r="D80" i="8" s="1"/>
  <c r="B180" i="8" s="1"/>
  <c r="D180" i="8" s="1"/>
  <c r="E180" i="8" s="1"/>
  <c r="F180" i="8" s="1"/>
  <c r="D139" i="8"/>
  <c r="D131" i="8"/>
  <c r="D20" i="8"/>
  <c r="B171" i="8"/>
  <c r="B172" i="8" s="1"/>
  <c r="B173" i="8" s="1"/>
  <c r="B86" i="8"/>
  <c r="D92" i="8"/>
  <c r="B98" i="8"/>
  <c r="D50" i="8"/>
  <c r="D112" i="8"/>
  <c r="D126" i="8" s="1"/>
  <c r="B184" i="8" s="1"/>
  <c r="D42" i="8"/>
  <c r="D90" i="8"/>
  <c r="D28" i="8"/>
  <c r="B32" i="8"/>
  <c r="D63" i="8"/>
  <c r="D87" i="8"/>
  <c r="D91" i="8"/>
  <c r="D32" i="8"/>
  <c r="D165" i="8"/>
  <c r="B185" i="8" s="1"/>
  <c r="D29" i="8"/>
  <c r="D88" i="8"/>
  <c r="B27" i="8"/>
  <c r="B13" i="8" s="1"/>
  <c r="D27" i="8" l="1"/>
  <c r="D13" i="8" s="1"/>
  <c r="E186" i="4"/>
  <c r="E189" i="4" s="1"/>
  <c r="D189" i="4"/>
  <c r="E181" i="4"/>
  <c r="D184" i="4"/>
  <c r="C186" i="15"/>
  <c r="D186" i="15" s="1"/>
  <c r="E186" i="15" s="1"/>
  <c r="C185" i="15"/>
  <c r="D185" i="15" s="1"/>
  <c r="E185" i="15" s="1"/>
  <c r="C184" i="15"/>
  <c r="D184" i="15" s="1"/>
  <c r="B182" i="15"/>
  <c r="D179" i="15"/>
  <c r="B183" i="14"/>
  <c r="D180" i="14"/>
  <c r="C187" i="14"/>
  <c r="D187" i="14" s="1"/>
  <c r="E187" i="14" s="1"/>
  <c r="C186" i="14"/>
  <c r="D186" i="14" s="1"/>
  <c r="E186" i="14" s="1"/>
  <c r="C185" i="14"/>
  <c r="D185" i="14" s="1"/>
  <c r="C184" i="10"/>
  <c r="D184" i="10" s="1"/>
  <c r="E184" i="10" s="1"/>
  <c r="C183" i="10"/>
  <c r="D183" i="10" s="1"/>
  <c r="E183" i="10" s="1"/>
  <c r="C182" i="10"/>
  <c r="D182" i="10" s="1"/>
  <c r="B180" i="10"/>
  <c r="D177" i="10"/>
  <c r="C232" i="7"/>
  <c r="D232" i="7" s="1"/>
  <c r="E232" i="7" s="1"/>
  <c r="C231" i="7"/>
  <c r="D231" i="7" s="1"/>
  <c r="E231" i="7" s="1"/>
  <c r="C230" i="7"/>
  <c r="D230" i="7" s="1"/>
  <c r="B228" i="7"/>
  <c r="D225" i="7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E184" i="4" l="1"/>
  <c r="E190" i="4" s="1"/>
  <c r="F181" i="4"/>
  <c r="D182" i="15"/>
  <c r="E179" i="15"/>
  <c r="E184" i="15"/>
  <c r="E187" i="15" s="1"/>
  <c r="D187" i="15"/>
  <c r="E180" i="14"/>
  <c r="D183" i="14"/>
  <c r="E185" i="14"/>
  <c r="E188" i="14" s="1"/>
  <c r="D188" i="14"/>
  <c r="E177" i="10"/>
  <c r="D180" i="10"/>
  <c r="D185" i="10"/>
  <c r="E182" i="10"/>
  <c r="E185" i="10" s="1"/>
  <c r="D228" i="7"/>
  <c r="E225" i="7"/>
  <c r="E230" i="7"/>
  <c r="E233" i="7" s="1"/>
  <c r="D233" i="7"/>
  <c r="B107" i="8"/>
  <c r="D107" i="8" s="1"/>
  <c r="D108" i="8" s="1"/>
  <c r="B183" i="8" s="1"/>
  <c r="B37" i="8"/>
  <c r="D37" i="8" s="1"/>
  <c r="D38" i="8" s="1"/>
  <c r="B178" i="8" s="1"/>
  <c r="F184" i="4" l="1"/>
  <c r="F189" i="4"/>
  <c r="F179" i="15"/>
  <c r="E182" i="15"/>
  <c r="E188" i="15" s="1"/>
  <c r="F180" i="14"/>
  <c r="E183" i="14"/>
  <c r="E189" i="14" s="1"/>
  <c r="F177" i="10"/>
  <c r="E180" i="10"/>
  <c r="E186" i="10" s="1"/>
  <c r="F225" i="7"/>
  <c r="E228" i="7"/>
  <c r="E234" i="7" s="1"/>
  <c r="B38" i="8"/>
  <c r="B186" i="8"/>
  <c r="D183" i="8"/>
  <c r="B108" i="8"/>
  <c r="D178" i="8"/>
  <c r="B181" i="8"/>
  <c r="F190" i="4" l="1"/>
  <c r="F187" i="15"/>
  <c r="F182" i="15"/>
  <c r="F188" i="14"/>
  <c r="F183" i="14"/>
  <c r="F185" i="10"/>
  <c r="F180" i="10"/>
  <c r="F233" i="7"/>
  <c r="F228" i="7"/>
  <c r="E183" i="8"/>
  <c r="E186" i="8" s="1"/>
  <c r="D186" i="8"/>
  <c r="D181" i="8"/>
  <c r="E178" i="8"/>
  <c r="B195" i="4" l="1"/>
  <c r="E195" i="4" s="1"/>
  <c r="F188" i="15"/>
  <c r="B193" i="15" s="1"/>
  <c r="E193" i="15" s="1"/>
  <c r="F189" i="14"/>
  <c r="B194" i="14" s="1"/>
  <c r="E194" i="14" s="1"/>
  <c r="F186" i="10"/>
  <c r="B191" i="10" s="1"/>
  <c r="E191" i="10" s="1"/>
  <c r="F234" i="7"/>
  <c r="B239" i="7" s="1"/>
  <c r="E239" i="7" s="1"/>
  <c r="F178" i="8"/>
  <c r="E181" i="8"/>
  <c r="E187" i="8" s="1"/>
  <c r="F186" i="8" l="1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<sst xmlns="http://schemas.openxmlformats.org/spreadsheetml/2006/main" count="1032" uniqueCount="288">
  <si>
    <t>Предмети, матеріали, обладнання та інвентар</t>
  </si>
  <si>
    <t>Оплата послуг (крім комунальних)</t>
  </si>
  <si>
    <t>Інші поточні видатки</t>
  </si>
  <si>
    <t>Юрист</t>
  </si>
  <si>
    <t>Cоціальний робітник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</si>
  <si>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</si>
  <si>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</si>
  <si>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</si>
  <si>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</si>
  <si>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</si>
  <si>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</si>
  <si>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</si>
  <si>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</si>
  <si>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</si>
  <si>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</si>
  <si>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</si>
  <si>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</si>
  <si>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</si>
  <si>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</si>
  <si>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</si>
  <si>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</si>
  <si>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r>
      <rPr>
        <b/>
        <i/>
        <sz val="10"/>
        <color theme="1"/>
        <rFont val="Calibri"/>
        <family val="2"/>
        <charset val="204"/>
      </rPr>
      <t xml:space="preserve"> в т. ч. педаго</t>
    </r>
    <r>
      <rPr>
        <b/>
        <i/>
        <sz val="10"/>
        <color theme="1"/>
        <rFont val="Calibri"/>
        <family val="2"/>
        <charset val="204"/>
      </rPr>
      <t>г</t>
    </r>
    <r>
      <rPr>
        <b/>
        <i/>
        <sz val="10"/>
        <color theme="1"/>
        <rFont val="Calibri"/>
        <family val="2"/>
        <charset val="204"/>
      </rPr>
      <t xml:space="preserve">ічний персонал </t>
    </r>
  </si>
  <si>
    <t xml:space="preserve">Допоміжний персонал </t>
  </si>
  <si>
    <t xml:space="preserve">Заробітна плата </t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</si>
  <si>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22</t>
    </r>
    <r>
      <rPr>
        <b/>
        <sz val="10"/>
        <color rgb="FF000000"/>
        <rFont val="Calibri"/>
        <family val="2"/>
        <charset val="204"/>
      </rPr>
      <t>%:</t>
    </r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</si>
  <si>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</si>
  <si>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</si>
  <si>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</si>
  <si>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</si>
  <si>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</si>
  <si>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</si>
  <si>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</si>
  <si>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Канцтовари для працівників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</si>
  <si>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</si>
  <si>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</si>
  <si>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</si>
  <si>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</si>
  <si>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</si>
  <si>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</si>
  <si>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</si>
  <si>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</si>
  <si>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</si>
  <si>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</si>
  <si>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</si>
  <si>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</si>
  <si>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</si>
  <si>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</si>
  <si>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</si>
  <si>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</si>
  <si>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</si>
  <si>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</si>
  <si>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</si>
  <si>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</si>
  <si>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</si>
  <si>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</si>
  <si>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</si>
  <si>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</si>
  <si>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</si>
  <si>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</si>
  <si>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r>
      <rPr>
        <sz val="10"/>
        <color theme="1"/>
        <rFont val="Calibri"/>
        <family val="2"/>
        <charset val="204"/>
      </rPr>
      <t xml:space="preserve">Прибиральник службових приміщень </t>
    </r>
    <r>
      <rPr>
        <sz val="10"/>
        <color theme="1"/>
        <rFont val="Calibri"/>
        <family val="2"/>
        <charset val="204"/>
      </rPr>
      <t xml:space="preserve">2р </t>
    </r>
  </si>
  <si>
    <t>Сторож 1р (1,5 посади)</t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</si>
  <si>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</t>
    </r>
    <r>
      <rPr>
        <b/>
        <sz val="10"/>
        <color rgb="FF000000"/>
        <rFont val="Calibri"/>
        <family val="2"/>
        <charset val="204"/>
      </rPr>
      <t>2%:</t>
    </r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</si>
  <si>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</si>
  <si>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</si>
  <si>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</si>
  <si>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</si>
  <si>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</si>
  <si>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</si>
  <si>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</si>
  <si>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</si>
  <si>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</si>
  <si>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</si>
  <si>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</si>
  <si>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</si>
  <si>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</si>
  <si>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</si>
  <si>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</si>
  <si>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</si>
  <si>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</si>
  <si>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</si>
  <si>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</si>
  <si>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</si>
  <si>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</si>
  <si>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</si>
  <si>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</si>
  <si>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</si>
  <si>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</si>
  <si>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</si>
  <si>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</si>
  <si>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</si>
  <si>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Заробітна плата персоналу, що залучається в до надання соціальних послуг в межах замовлення</t>
  </si>
  <si>
    <t>Заробітна плата персоналу, який здійснює надання соціальних послуг за різними договорами та проектами суб’єкта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</si>
  <si>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</si>
  <si>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</si>
  <si>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</si>
  <si>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</si>
  <si>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</si>
  <si>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</si>
  <si>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</si>
  <si>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</si>
  <si>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</si>
  <si>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</si>
  <si>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</si>
  <si>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</si>
  <si>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</si>
  <si>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</si>
  <si>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</si>
  <si>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4. Розрахунок вартості надання соціальної послуги на 1 клієнта на рік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</si>
  <si>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</si>
  <si>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</si>
  <si>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</si>
  <si>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</si>
  <si>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</si>
  <si>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>соціальної послуги "ДОГЛЯД ВДОМА"</t>
  </si>
  <si>
    <r>
      <rPr>
        <b/>
        <i/>
        <sz val="10"/>
        <color theme="1"/>
        <rFont val="Calibri"/>
        <family val="2"/>
        <charset val="204"/>
      </rPr>
      <t xml:space="preserve"> в т. ч. педаго</t>
    </r>
    <r>
      <rPr>
        <b/>
        <i/>
        <sz val="10"/>
        <color theme="1"/>
        <rFont val="Calibri"/>
        <family val="2"/>
        <charset val="204"/>
      </rPr>
      <t>г</t>
    </r>
    <r>
      <rPr>
        <b/>
        <i/>
        <sz val="10"/>
        <color theme="1"/>
        <rFont val="Calibri"/>
        <family val="2"/>
        <charset val="204"/>
      </rPr>
      <t xml:space="preserve">ічний персонал </t>
    </r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</si>
  <si>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22</t>
    </r>
    <r>
      <rPr>
        <b/>
        <sz val="10"/>
        <color rgb="FF000000"/>
        <rFont val="Calibri"/>
        <family val="2"/>
        <charset val="204"/>
      </rPr>
      <t>%:</t>
    </r>
  </si>
  <si>
    <r>
      <rPr>
        <sz val="10"/>
        <color theme="1"/>
        <rFont val="Calibri"/>
        <family val="2"/>
        <charset val="204"/>
      </rPr>
      <t xml:space="preserve">Прибиральник службових приміщень </t>
    </r>
    <r>
      <rPr>
        <sz val="10"/>
        <color theme="1"/>
        <rFont val="Calibri"/>
        <family val="2"/>
        <charset val="204"/>
      </rPr>
      <t xml:space="preserve">2р </t>
    </r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</si>
  <si>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</t>
    </r>
    <r>
      <rPr>
        <b/>
        <sz val="10"/>
        <color rgb="FF000000"/>
        <rFont val="Calibri"/>
        <family val="2"/>
        <charset val="204"/>
      </rPr>
      <t>2%:</t>
    </r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</si>
  <si>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</si>
  <si>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</si>
  <si>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</si>
  <si>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  <family val="2"/>
        <charset val="204"/>
      </rPr>
      <t xml:space="preserve">Кількість осіб що обслуговуються </t>
    </r>
    <r>
      <rPr>
        <b/>
        <sz val="10"/>
        <color theme="1"/>
        <rFont val="Calibri"/>
        <family val="2"/>
        <charset val="204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</si>
  <si>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</si>
  <si>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</si>
  <si>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</si>
  <si>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22</t>
    </r>
    <r>
      <rPr>
        <b/>
        <sz val="10"/>
        <color rgb="FF000000"/>
        <rFont val="Calibri"/>
        <family val="2"/>
        <charset val="204"/>
      </rPr>
      <t>%:</t>
    </r>
  </si>
  <si>
    <t>Канцтовари</t>
  </si>
  <si>
    <t>Матеріали для дітей</t>
  </si>
  <si>
    <r>
      <rPr>
        <sz val="10"/>
        <color theme="1"/>
        <rFont val="Calibri"/>
        <family val="2"/>
        <charset val="204"/>
      </rPr>
      <t xml:space="preserve">Головний бухгалтер </t>
    </r>
    <r>
      <rPr>
        <sz val="10"/>
        <color theme="1"/>
        <rFont val="Calibri"/>
        <family val="2"/>
        <charset val="204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</si>
  <si>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</si>
  <si>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  <family val="2"/>
        <charset val="204"/>
      </rPr>
      <t xml:space="preserve">Прибиральник службових приміщень </t>
    </r>
    <r>
      <rPr>
        <sz val="10"/>
        <color theme="1"/>
        <rFont val="Calibri"/>
        <family val="2"/>
        <charset val="204"/>
      </rPr>
      <t xml:space="preserve">2р </t>
    </r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</si>
  <si>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</t>
    </r>
    <r>
      <rPr>
        <b/>
        <sz val="10"/>
        <color rgb="FF000000"/>
        <rFont val="Calibri"/>
        <family val="2"/>
        <charset val="204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</si>
  <si>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</si>
  <si>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</si>
  <si>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</si>
  <si>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Засоби захисту та дезінфекції, госптовари</t>
  </si>
  <si>
    <t>Комірник 2р</t>
  </si>
  <si>
    <t>оплата інших енергоносіїв та інших комунальних послуг</t>
  </si>
  <si>
    <t>разом по субрахунках 1013, 1014, 1016</t>
  </si>
  <si>
    <t>КАЛЬКУЛЯЦІЯ  ВАРТОСТІ</t>
  </si>
  <si>
    <t xml:space="preserve">Директор </t>
  </si>
  <si>
    <t xml:space="preserve">Головний бухгалтер </t>
  </si>
  <si>
    <t xml:space="preserve">Бухгалтер </t>
  </si>
  <si>
    <t xml:space="preserve">матеріальна допомога </t>
  </si>
  <si>
    <t>соціальної послуги "НАДАННЯ ПРИТУЛКУ"</t>
  </si>
  <si>
    <t>фахівець</t>
  </si>
  <si>
    <t>соціальної послуги "ЕКСТРЕНЕ (КРИЗОВЕ) ВТРУЧАННЯ"</t>
  </si>
  <si>
    <t>соціальної послуги "НАТУРАЛЬНА ДОПОМОГА"</t>
  </si>
  <si>
    <t>перукар</t>
  </si>
  <si>
    <t>соціальний працівник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</si>
  <si>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 xml:space="preserve">Відділення соціальної допомоги вдома </t>
    </r>
  </si>
  <si>
    <t>№ п/п</t>
  </si>
  <si>
    <t>Назва послуги</t>
  </si>
  <si>
    <t>Одиниця виміру</t>
  </si>
  <si>
    <t>Витрати часу на надання послуги, (хвилини</t>
  </si>
  <si>
    <t>Тариф на оплату послуги, (грн.)</t>
  </si>
  <si>
    <t xml:space="preserve">Тариф на оплату послуги з установленням диференційованої плати, (грн.) </t>
  </si>
  <si>
    <t>Допомога у самообслуговуванні</t>
  </si>
  <si>
    <t>Вмивання, обтирання, обмивання</t>
  </si>
  <si>
    <t>Вдягання, роздягання, взування</t>
  </si>
  <si>
    <t>Заміна натільної білизни</t>
  </si>
  <si>
    <t>Заміна постільної білизни</t>
  </si>
  <si>
    <t>Обрізання нігтів (без патології) на руках або ногах</t>
  </si>
  <si>
    <t>Миття голови</t>
  </si>
  <si>
    <t>Купання, надання допомоги при купанні</t>
  </si>
  <si>
    <t>Чищення зубів</t>
  </si>
  <si>
    <t xml:space="preserve">Гоління </t>
  </si>
  <si>
    <t xml:space="preserve">Розчісування </t>
  </si>
  <si>
    <t>Допомога у користуванні туалетом (подача й винесення судна з подальшою обробкою)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</si>
  <si>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</si>
  <si>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</si>
  <si>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</si>
  <si>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</si>
  <si>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</si>
  <si>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</si>
  <si>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</si>
  <si>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</si>
  <si>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</si>
  <si>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</si>
  <si>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</si>
  <si>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Один захід</t>
  </si>
  <si>
    <t>Ведення домашнього господарства</t>
  </si>
  <si>
    <t>Годування (для ліжкових хворих)</t>
  </si>
  <si>
    <t>Придбання і доставка продовольчих, промислових та господарських товарів, медикаментів</t>
  </si>
  <si>
    <t>Допомога у приготуванні їжі (підготовка продуктів для приготування їжі, миття овочів, фруктів, посуду, винесення сміття тощо)</t>
  </si>
  <si>
    <t>Приготування їжі</t>
  </si>
  <si>
    <t>Допомога при консервації овочів та фруктів</t>
  </si>
  <si>
    <t>Прибирання житла:</t>
  </si>
  <si>
    <t>косметичне прибирання</t>
  </si>
  <si>
    <t>вологе прибирання</t>
  </si>
  <si>
    <t>генеральне прибирання</t>
  </si>
  <si>
    <t>Обклеювання вікон</t>
  </si>
  <si>
    <t>Миття вікон (не більше 3)</t>
  </si>
  <si>
    <t>Прання білизни та одягу</t>
  </si>
  <si>
    <t>Прасування</t>
  </si>
  <si>
    <t>Розпалювання печей, піднесення вугілля, дров, розчистка снігу, доставка води з колонки</t>
  </si>
  <si>
    <t>Забезпечення супроводження (супровід споживача соціальних послуг у поліклініку тощо)</t>
  </si>
  <si>
    <t>Надання допомоги в оплаті комунальних послуг (заповнення абонентних книжок, оплата комунальних послуг, звіряння платежів, заміна книжок)</t>
  </si>
  <si>
    <t>Надання допомоги в оформленні документів (оформлення субсидій на квартирну плату і комунальні послуги)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</si>
  <si>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</si>
  <si>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</si>
  <si>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</si>
  <si>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</si>
  <si>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</si>
  <si>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</si>
  <si>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</si>
  <si>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</si>
  <si>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</si>
  <si>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</si>
  <si>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</si>
  <si>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</si>
  <si>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4</t>
  </si>
  <si>
    <t>5</t>
  </si>
  <si>
    <t>Написання листів, заяв, скарг, отримання довідок, інших документів</t>
  </si>
  <si>
    <t>Представництво інтересів в органах державної влади, установах, підприємствах та організаціях (виконання доручень, пов’язаних з необхідністю відвідування різних організацій)</t>
  </si>
  <si>
    <t>Надання допомоги у сільській місцевості з проведення сільськогосподарських робіт (в обробці присадибної ділянки)</t>
  </si>
  <si>
    <t>Надання послуг з виконання ремонтних робіт (допомога в ремонті житлових приміщень)</t>
  </si>
  <si>
    <t>Спостереження за станом здоров’я, допомога у проведенні процедур, пов’язаних зі здоров’ям, надання допомоги до приходу лікаря, виклик лікаря додому</t>
  </si>
  <si>
    <t>Сприяння в отриманні медичної допомоги в установах охорони здоров’я та лікувально-профілактичних установах</t>
  </si>
  <si>
    <t>Сприяння у направленні до стаціонарної установи, установи охорони здоров’я та соціального захисту населення</t>
  </si>
  <si>
    <t>Надання інформації з питань соціального захисту населення</t>
  </si>
  <si>
    <t>6</t>
  </si>
  <si>
    <t>7</t>
  </si>
  <si>
    <t>8</t>
  </si>
  <si>
    <t>9</t>
  </si>
  <si>
    <t>10</t>
  </si>
  <si>
    <t>11</t>
  </si>
  <si>
    <t>12</t>
  </si>
  <si>
    <t>13</t>
  </si>
  <si>
    <t>Разове доручення</t>
  </si>
  <si>
    <t>Одне миття 1 вікна</t>
  </si>
  <si>
    <t>Одне прання (до 1,5 кг сухої білизни)</t>
  </si>
  <si>
    <t>Одне прасування (до 1,5 кг сухої білизни)</t>
  </si>
  <si>
    <t>Одна оплата</t>
  </si>
  <si>
    <t>Одне оформлення</t>
  </si>
  <si>
    <t>Один лист</t>
  </si>
  <si>
    <t>Одне доручення</t>
  </si>
  <si>
    <t>Разове доручення, не більше 0,02 га</t>
  </si>
  <si>
    <t>доставка</t>
  </si>
  <si>
    <t>піднесення</t>
  </si>
  <si>
    <t>Одне розпалювання</t>
  </si>
  <si>
    <t>Стрижка чоловіча машинка</t>
  </si>
  <si>
    <t>- насадка 1 шт.</t>
  </si>
  <si>
    <t>- насадка 2 шт.</t>
  </si>
  <si>
    <t>- насадка 3 шт.</t>
  </si>
  <si>
    <t>- наголо</t>
  </si>
  <si>
    <t>Стрижка чоловіча (машинка + ножиці)</t>
  </si>
  <si>
    <t>Стрижка чоловіча «Канадка»</t>
  </si>
  <si>
    <t>Стрижка жіноча</t>
  </si>
  <si>
    <t>Підрізання чубчика</t>
  </si>
  <si>
    <t>Підрізання довжини волосся</t>
  </si>
  <si>
    <t>Укладка волосся</t>
  </si>
  <si>
    <t>Фарбування волосся (без матеріалу)</t>
  </si>
  <si>
    <t xml:space="preserve">- коротке </t>
  </si>
  <si>
    <t>1 послуга</t>
  </si>
  <si>
    <t xml:space="preserve">1 послуга </t>
  </si>
  <si>
    <t>Хімічна завивка (без матеріалу)</t>
  </si>
  <si>
    <t>1послуга</t>
  </si>
  <si>
    <t xml:space="preserve"> - довге</t>
  </si>
  <si>
    <t xml:space="preserve"> - коріння</t>
  </si>
  <si>
    <t>Надання допомоги в обробці присадибної ділянки 0.01 га</t>
  </si>
  <si>
    <t>Спилювання та винесення гілок</t>
  </si>
  <si>
    <t>Виконання ремонтних робіт (поточний ремонт) (з використанням обладнання замовника)</t>
  </si>
  <si>
    <t xml:space="preserve">- вікна </t>
  </si>
  <si>
    <t xml:space="preserve">- хвіртка дерев’яна </t>
  </si>
  <si>
    <t xml:space="preserve">- дерев’яний паркан </t>
  </si>
  <si>
    <t xml:space="preserve">- ганок дерев’яний </t>
  </si>
  <si>
    <t xml:space="preserve">- ворота дерев’яні </t>
  </si>
  <si>
    <t>- переміщення меблів в середині приміщення</t>
  </si>
  <si>
    <t>- заміна замка, секрета (заздалегідь купленого замовником аналогічного)</t>
  </si>
  <si>
    <t>Розчищення снігу</t>
  </si>
  <si>
    <t>Згрібання трави та листя (0,01га)</t>
  </si>
  <si>
    <t>Заступник директора</t>
  </si>
  <si>
    <t>Начальник відділення</t>
  </si>
  <si>
    <t>Інтернет зв'язок та телекомунікаційні послуги</t>
  </si>
  <si>
    <t xml:space="preserve">матеріали, обладнання та інвентар </t>
  </si>
  <si>
    <t xml:space="preserve"> матеріали та інвентар для надання послуги</t>
  </si>
  <si>
    <r>
      <t xml:space="preserve">При визначенні вартості соціальних послуг враховується тариф  </t>
    </r>
    <r>
      <rPr>
        <b/>
        <sz val="12"/>
        <color rgb="FF000000"/>
        <rFont val="Times New Roman"/>
        <family val="1"/>
        <charset val="204"/>
      </rPr>
      <t>149,07 грн</t>
    </r>
    <r>
      <rPr>
        <sz val="12"/>
        <color rgb="FF000000"/>
        <rFont val="Times New Roman"/>
        <family val="1"/>
        <charset val="204"/>
      </rPr>
      <t>./год.</t>
    </r>
  </si>
  <si>
    <t>ремонт інвентарю</t>
  </si>
  <si>
    <t xml:space="preserve">Косіння трави біля будинку  (0,02 га) </t>
  </si>
  <si>
    <t xml:space="preserve">Косіння трави біля паркану  (0,02 га) 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</si>
  <si>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Відділення натуральної та адресної допомоги</t>
    </r>
  </si>
  <si>
    <t>Начальник  денного центру</t>
  </si>
  <si>
    <t>КНП «Центр надання соціальних послуг» Боярської міської ради</t>
  </si>
  <si>
    <t>1. Перукарські послуги
При визначенні вартості соціальних послуг враховується тариф  54,19 грн./год.</t>
  </si>
  <si>
    <t>2. Натуральна допомога                                                                                                                                При визначенні вартості соціальних послуг враховується тариф  187,97  грн./год.</t>
  </si>
  <si>
    <t xml:space="preserve"> ТАРИФИ
на соціальні послуги, які надаються КНП «Центр соціальної підтримки» Боярської міської ради</t>
  </si>
  <si>
    <t>Додаток 1                                                                           до рішення сесії Боярської міської ради                                    від 23 жовтня 2025 р. №75/4079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</si>
</sst>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color rgb="FF000000"/>
      <name val="Calibri"/>
      <scheme val="minor"/>
    </font>
    <font>
      <sz val="12"/>
      <color theme="1"/>
      <name val="&quot;Times New Roman&quot;"/>
    </font>
    <font>
      <b/>
      <sz val="1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rgb="FFDD0806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DD0806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Arimo"/>
    </font>
    <font>
      <b/>
      <sz val="12"/>
      <color theme="1"/>
      <name val="Calibri"/>
      <family val="2"/>
      <charset val="204"/>
    </font>
    <font>
      <b/>
      <u/>
      <sz val="10"/>
      <color rgb="FF0000FF"/>
      <name val="Calibri"/>
      <family val="2"/>
      <charset val="204"/>
    </font>
    <font>
      <b/>
      <u/>
      <sz val="10"/>
      <color rgb="FF0000FF"/>
      <name val="Calibri"/>
      <family val="2"/>
      <charset val="204"/>
    </font>
    <font>
      <sz val="10"/>
      <color rgb="FFDD0806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color theme="1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left"/>
    </xf>
    <xf numFmtId="1" fontId="4" fillId="2" borderId="9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3" fillId="4" borderId="11" xfId="0" applyFont="1" applyFill="1" applyBorder="1" applyAlignment="1">
      <alignment horizontal="left"/>
    </xf>
    <xf numFmtId="2" fontId="3" fillId="4" borderId="7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1" xfId="0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2" fontId="9" fillId="4" borderId="7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5" fillId="0" borderId="11" xfId="0" applyFont="1" applyBorder="1" applyAlignment="1">
      <alignment horizontal="left"/>
    </xf>
    <xf numFmtId="2" fontId="5" fillId="2" borderId="7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0" xfId="0" applyNumberFormat="1" applyFont="1"/>
    <xf numFmtId="2" fontId="3" fillId="0" borderId="7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2" fontId="3" fillId="5" borderId="12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4" fillId="4" borderId="11" xfId="0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2" fontId="4" fillId="4" borderId="1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5" borderId="8" xfId="0" applyFont="1" applyFill="1" applyBorder="1" applyAlignment="1">
      <alignment horizontal="left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2" fontId="5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5" borderId="12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4" borderId="15" xfId="0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4" fillId="4" borderId="1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5" borderId="8" xfId="0" applyFont="1" applyFill="1" applyBorder="1" applyAlignment="1">
      <alignment horizontal="left"/>
    </xf>
    <xf numFmtId="2" fontId="4" fillId="5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4" borderId="18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2" fontId="5" fillId="2" borderId="1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1" fontId="12" fillId="2" borderId="13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2" fontId="12" fillId="2" borderId="7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0" fontId="13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2" fontId="5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3" fillId="5" borderId="11" xfId="0" applyNumberFormat="1" applyFont="1" applyFill="1" applyBorder="1" applyAlignment="1">
      <alignment horizontal="left"/>
    </xf>
    <xf numFmtId="2" fontId="3" fillId="5" borderId="7" xfId="0" applyNumberFormat="1" applyFont="1" applyFill="1" applyBorder="1" applyAlignment="1">
      <alignment horizontal="center"/>
    </xf>
    <xf numFmtId="2" fontId="3" fillId="5" borderId="21" xfId="0" applyNumberFormat="1" applyFont="1" applyFill="1" applyBorder="1" applyAlignment="1">
      <alignment horizontal="center"/>
    </xf>
    <xf numFmtId="2" fontId="3" fillId="5" borderId="22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4" fontId="17" fillId="0" borderId="0" xfId="0" applyNumberFormat="1" applyFont="1"/>
    <xf numFmtId="0" fontId="3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8" fillId="0" borderId="11" xfId="0" applyFont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 applyAlignment="1"/>
    <xf numFmtId="0" fontId="3" fillId="0" borderId="1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8" xfId="0" applyFont="1" applyFill="1" applyBorder="1" applyAlignment="1">
      <alignment horizontal="left"/>
    </xf>
    <xf numFmtId="1" fontId="4" fillId="0" borderId="9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8" fillId="0" borderId="0" xfId="0" applyFont="1" applyFill="1"/>
    <xf numFmtId="2" fontId="3" fillId="0" borderId="7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7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0" fontId="1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5" fillId="0" borderId="11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" fontId="3" fillId="0" borderId="1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2" fontId="4" fillId="0" borderId="15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1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/>
    </xf>
    <xf numFmtId="2" fontId="5" fillId="0" borderId="13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2" fontId="12" fillId="0" borderId="23" xfId="0" applyNumberFormat="1" applyFont="1" applyFill="1" applyBorder="1" applyAlignment="1">
      <alignment horizontal="center"/>
    </xf>
    <xf numFmtId="2" fontId="12" fillId="0" borderId="22" xfId="0" applyNumberFormat="1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/>
    <xf numFmtId="0" fontId="3" fillId="0" borderId="7" xfId="0" applyFont="1" applyFill="1" applyBorder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9" fillId="0" borderId="11" xfId="0" applyFont="1" applyFill="1" applyBorder="1" applyAlignment="1">
      <alignment horizontal="left"/>
    </xf>
    <xf numFmtId="2" fontId="4" fillId="0" borderId="1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1" fontId="5" fillId="0" borderId="17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1" fontId="6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5" fillId="0" borderId="0" xfId="0" applyFont="1" applyAlignment="1">
      <alignment horizontal="justify" vertical="center"/>
    </xf>
    <xf numFmtId="0" fontId="0" fillId="0" borderId="26" xfId="0" applyFont="1" applyBorder="1" applyAlignment="1"/>
    <xf numFmtId="49" fontId="23" fillId="0" borderId="26" xfId="0" applyNumberFormat="1" applyFont="1" applyBorder="1" applyAlignment="1"/>
    <xf numFmtId="0" fontId="28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2" fontId="0" fillId="0" borderId="26" xfId="0" applyNumberFormat="1" applyFont="1" applyBorder="1" applyAlignment="1"/>
    <xf numFmtId="2" fontId="0" fillId="0" borderId="26" xfId="0" applyNumberFormat="1" applyFont="1" applyBorder="1" applyAlignment="1">
      <alignment horizontal="right"/>
    </xf>
    <xf numFmtId="0" fontId="30" fillId="0" borderId="28" xfId="0" applyFont="1" applyBorder="1" applyAlignment="1">
      <alignment horizontal="justify" vertical="center" wrapText="1"/>
    </xf>
    <xf numFmtId="0" fontId="0" fillId="0" borderId="30" xfId="0" applyFont="1" applyBorder="1" applyAlignment="1"/>
    <xf numFmtId="0" fontId="30" fillId="0" borderId="2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justify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horizontal="justify" vertical="center" wrapText="1"/>
    </xf>
    <xf numFmtId="0" fontId="30" fillId="0" borderId="26" xfId="0" applyFont="1" applyBorder="1" applyAlignment="1">
      <alignment vertical="center" wrapText="1"/>
    </xf>
    <xf numFmtId="2" fontId="0" fillId="0" borderId="26" xfId="0" applyNumberFormat="1" applyFont="1" applyBorder="1" applyAlignment="1">
      <alignment horizontal="center" vertical="center"/>
    </xf>
    <xf numFmtId="2" fontId="0" fillId="0" borderId="26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vertical="center"/>
    </xf>
    <xf numFmtId="0" fontId="24" fillId="0" borderId="29" xfId="0" applyFont="1" applyBorder="1" applyAlignment="1"/>
    <xf numFmtId="0" fontId="26" fillId="0" borderId="29" xfId="0" applyFont="1" applyBorder="1" applyAlignment="1"/>
    <xf numFmtId="0" fontId="0" fillId="0" borderId="29" xfId="0" applyFont="1" applyBorder="1" applyAlignment="1"/>
    <xf numFmtId="0" fontId="29" fillId="0" borderId="26" xfId="0" applyFont="1" applyBorder="1" applyAlignment="1">
      <alignment horizontal="left" vertical="center" wrapText="1"/>
    </xf>
    <xf numFmtId="0" fontId="30" fillId="0" borderId="26" xfId="0" applyFont="1" applyBorder="1" applyAlignment="1"/>
    <xf numFmtId="0" fontId="24" fillId="0" borderId="30" xfId="0" applyFont="1" applyBorder="1" applyAlignment="1"/>
    <xf numFmtId="0" fontId="26" fillId="0" borderId="30" xfId="0" applyFont="1" applyBorder="1" applyAlignment="1"/>
    <xf numFmtId="49" fontId="23" fillId="0" borderId="30" xfId="0" applyNumberFormat="1" applyFont="1" applyBorder="1" applyAlignment="1"/>
    <xf numFmtId="0" fontId="30" fillId="0" borderId="28" xfId="0" applyFont="1" applyBorder="1" applyAlignment="1">
      <alignment vertical="center" wrapText="1"/>
    </xf>
    <xf numFmtId="2" fontId="0" fillId="0" borderId="30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wrapText="1"/>
    </xf>
    <xf numFmtId="0" fontId="26" fillId="0" borderId="17" xfId="0" applyFont="1" applyBorder="1" applyAlignment="1"/>
    <xf numFmtId="0" fontId="6" fillId="6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0" fillId="6" borderId="0" xfId="0" applyFont="1" applyFill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6" borderId="11" xfId="0" applyFont="1" applyFill="1" applyBorder="1" applyAlignment="1">
      <alignment horizontal="left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5" fillId="6" borderId="0" xfId="0" applyFont="1" applyFill="1"/>
    <xf numFmtId="0" fontId="5" fillId="6" borderId="11" xfId="0" applyFont="1" applyFill="1" applyBorder="1" applyAlignment="1">
      <alignment horizontal="left"/>
    </xf>
    <xf numFmtId="2" fontId="5" fillId="6" borderId="7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2" fontId="5" fillId="6" borderId="17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2" fontId="5" fillId="6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1" fillId="0" borderId="32" xfId="0" applyFont="1" applyBorder="1" applyAlignment="1"/>
    <xf numFmtId="49" fontId="23" fillId="0" borderId="26" xfId="0" applyNumberFormat="1" applyFont="1" applyBorder="1" applyAlignment="1"/>
    <xf numFmtId="0" fontId="3" fillId="0" borderId="10" xfId="0" applyFont="1" applyFill="1" applyBorder="1" applyAlignment="1">
      <alignment horizontal="left"/>
    </xf>
    <xf numFmtId="2" fontId="3" fillId="0" borderId="33" xfId="0" applyNumberFormat="1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2" fontId="5" fillId="0" borderId="34" xfId="0" applyNumberFormat="1" applyFont="1" applyFill="1" applyBorder="1" applyAlignment="1">
      <alignment horizontal="center"/>
    </xf>
    <xf numFmtId="0" fontId="32" fillId="0" borderId="5" xfId="0" applyFont="1" applyFill="1" applyBorder="1" applyAlignment="1"/>
    <xf numFmtId="0" fontId="23" fillId="0" borderId="26" xfId="0" applyFont="1" applyBorder="1" applyAlignment="1">
      <alignment horizontal="center" vertical="center" wrapText="1"/>
    </xf>
    <xf numFmtId="0" fontId="28" fillId="0" borderId="17" xfId="0" applyFont="1" applyBorder="1"/>
    <xf numFmtId="49" fontId="23" fillId="0" borderId="29" xfId="0" applyNumberFormat="1" applyFont="1" applyBorder="1" applyAlignment="1"/>
    <xf numFmtId="0" fontId="28" fillId="0" borderId="29" xfId="0" applyFont="1" applyBorder="1" applyAlignment="1">
      <alignment horizontal="justify" vertical="center" wrapText="1"/>
    </xf>
    <xf numFmtId="0" fontId="28" fillId="0" borderId="29" xfId="0" applyFont="1" applyBorder="1" applyAlignment="1">
      <alignment horizontal="center" vertical="center" wrapText="1"/>
    </xf>
    <xf numFmtId="2" fontId="0" fillId="0" borderId="29" xfId="0" applyNumberFormat="1" applyFont="1" applyBorder="1" applyAlignment="1"/>
    <xf numFmtId="0" fontId="26" fillId="0" borderId="35" xfId="0" applyFont="1" applyBorder="1" applyAlignment="1">
      <alignment horizontal="left" wrapText="1"/>
    </xf>
    <xf numFmtId="0" fontId="26" fillId="0" borderId="36" xfId="0" applyFont="1" applyBorder="1" applyAlignment="1">
      <alignment horizontal="left" wrapText="1"/>
    </xf>
    <xf numFmtId="0" fontId="26" fillId="0" borderId="37" xfId="0" applyFont="1" applyBorder="1" applyAlignment="1">
      <alignment horizontal="left" wrapText="1"/>
    </xf>
    <xf numFmtId="0" fontId="24" fillId="0" borderId="39" xfId="0" applyFont="1" applyBorder="1" applyAlignment="1">
      <alignment horizontal="right"/>
    </xf>
    <xf numFmtId="0" fontId="24" fillId="0" borderId="38" xfId="0" applyFont="1" applyBorder="1" applyAlignment="1">
      <alignment horizontal="right"/>
    </xf>
    <xf numFmtId="0" fontId="24" fillId="0" borderId="40" xfId="0" applyFont="1" applyBorder="1" applyAlignment="1">
      <alignment horizontal="right"/>
    </xf>
    <xf numFmtId="49" fontId="23" fillId="0" borderId="26" xfId="0" applyNumberFormat="1" applyFont="1" applyBorder="1" applyAlignment="1"/>
    <xf numFmtId="0" fontId="0" fillId="0" borderId="26" xfId="0" applyFont="1" applyBorder="1" applyAlignment="1"/>
    <xf numFmtId="0" fontId="30" fillId="0" borderId="26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30" fillId="0" borderId="26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28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49" fontId="23" fillId="0" borderId="26" xfId="0" applyNumberFormat="1" applyFont="1" applyBorder="1" applyAlignment="1">
      <alignment vertical="top"/>
    </xf>
    <xf numFmtId="0" fontId="0" fillId="0" borderId="26" xfId="0" applyFont="1" applyBorder="1" applyAlignment="1">
      <alignment vertical="top"/>
    </xf>
    <xf numFmtId="0" fontId="30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2" fontId="0" fillId="0" borderId="26" xfId="0" applyNumberFormat="1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28" fillId="0" borderId="17" xfId="0" applyFont="1" applyBorder="1" applyAlignment="1">
      <alignment horizontal="right" wrapText="1"/>
    </xf>
    <xf numFmtId="0" fontId="26" fillId="0" borderId="17" xfId="0" applyFont="1" applyBorder="1" applyAlignment="1">
      <alignment horizontal="center" wrapText="1"/>
    </xf>
    <xf numFmtId="0" fontId="0" fillId="0" borderId="3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6" fillId="0" borderId="26" xfId="0" applyFont="1" applyBorder="1" applyAlignment="1">
      <alignment wrapText="1"/>
    </xf>
    <xf numFmtId="0" fontId="26" fillId="0" borderId="26" xfId="0" applyFont="1" applyBorder="1" applyAlignment="1"/>
    <xf numFmtId="0" fontId="2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Z1001"/>
  <sheetViews>
    <sheetView workbookViewId="0">
      <selection activeCell="A3" sqref="A3"/>
    </sheetView>
  </sheetViews>
  <sheetFormatPr defaultColWidth="14.42578125" defaultRowHeight="15" customHeight="1"/>
  <cols>
    <col min="1" max="1" width="64.5703125" customWidth="1"/>
    <col min="2" max="2" width="11.7109375" customWidth="1"/>
    <col min="3" max="3" width="16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7.25" customHeight="1">
      <c r="A1" s="166" t="s">
        <v>139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61" t="s">
        <v>113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>
      <c r="A3" s="167" t="s">
        <v>283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72" customFormat="1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s="172" customFormat="1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s="172" customFormat="1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s="172" customFormat="1" ht="13.5" customHeigh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72" customFormat="1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s="172" customFormat="1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s="172" customFormat="1" ht="13.5" customHeight="1">
      <c r="A12" s="173" t="s">
        <v>16</v>
      </c>
      <c r="B12" s="186">
        <f>B13+B34</f>
        <v>15749.5</v>
      </c>
      <c r="C12" s="186"/>
      <c r="D12" s="187">
        <f>D13+D34</f>
        <v>204743.5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s="172" customFormat="1" ht="13.5" customHeight="1">
      <c r="A13" s="175" t="s">
        <v>17</v>
      </c>
      <c r="B13" s="189">
        <f>B14+B19+B26</f>
        <v>15749.5</v>
      </c>
      <c r="C13" s="189"/>
      <c r="D13" s="190">
        <f>D14+D19+D26</f>
        <v>204743.5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s="172" customFormat="1" ht="13.5" customHeight="1">
      <c r="A14" s="191" t="s">
        <v>18</v>
      </c>
      <c r="B14" s="192">
        <f>SUM(B16:B18)</f>
        <v>15749.5</v>
      </c>
      <c r="C14" s="192"/>
      <c r="D14" s="193">
        <f>SUM(D15:D18)</f>
        <v>204743.5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s="172" customFormat="1" ht="13.5" customHeight="1">
      <c r="A15" s="196" t="s">
        <v>4</v>
      </c>
      <c r="B15" s="201">
        <v>15749.5</v>
      </c>
      <c r="C15" s="197">
        <v>12</v>
      </c>
      <c r="D15" s="198">
        <f t="shared" ref="D15:D16" si="0">B15*C15</f>
        <v>188994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s="172" customFormat="1" ht="13.5" customHeight="1">
      <c r="A16" s="200" t="s">
        <v>143</v>
      </c>
      <c r="B16" s="201">
        <v>15749.5</v>
      </c>
      <c r="C16" s="202">
        <v>1</v>
      </c>
      <c r="D16" s="198">
        <f t="shared" si="0"/>
        <v>15749.5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s="172" customFormat="1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s="172" customFormat="1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s="172" customFormat="1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s="172" customFormat="1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s="172" customFormat="1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s="172" customFormat="1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s="172" customFormat="1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s="172" customFormat="1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s="172" customFormat="1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s="172" customFormat="1" ht="13.5" hidden="1" customHeight="1">
      <c r="A26" s="191" t="s">
        <v>114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s="172" customFormat="1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72" customFormat="1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s="172" customFormat="1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s="172" customFormat="1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s="172" customFormat="1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s="172" customFormat="1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s="172" customFormat="1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s="172" customFormat="1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s="172" customFormat="1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s="172" customFormat="1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s="172" customFormat="1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s="172" customFormat="1" ht="13.5" customHeight="1">
      <c r="A38" s="173" t="s">
        <v>23</v>
      </c>
      <c r="B38" s="186">
        <f>B13+B34</f>
        <v>15749.5</v>
      </c>
      <c r="C38" s="186"/>
      <c r="D38" s="187">
        <f>D13+D34</f>
        <v>204743.5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s="172" customFormat="1" ht="13.5" customHeight="1">
      <c r="A39" s="173" t="s">
        <v>115</v>
      </c>
      <c r="B39" s="186"/>
      <c r="C39" s="197"/>
      <c r="D39" s="198">
        <f>D38*0.22</f>
        <v>45043.57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s="172" customFormat="1" ht="15.75" customHeight="1">
      <c r="A40" s="203" t="s">
        <v>25</v>
      </c>
      <c r="B40" s="204">
        <f>SUM(B38:B39)</f>
        <v>15749.5</v>
      </c>
      <c r="C40" s="204"/>
      <c r="D40" s="205">
        <f>SUM(D38:D39)</f>
        <v>249787.07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4"/>
      <c r="B41" s="45"/>
      <c r="C41" s="45"/>
      <c r="D41" s="46"/>
      <c r="E41" s="46"/>
      <c r="F41" s="4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>
      <c r="A42" s="15" t="s">
        <v>26</v>
      </c>
      <c r="B42" s="47"/>
      <c r="C42" s="48"/>
      <c r="D42" s="4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7" customHeight="1">
      <c r="A43" s="18" t="s">
        <v>27</v>
      </c>
      <c r="B43" s="19" t="s">
        <v>28</v>
      </c>
      <c r="C43" s="19" t="s">
        <v>29</v>
      </c>
      <c r="D43" s="20" t="s">
        <v>30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customHeight="1">
      <c r="A44" s="165" t="s">
        <v>0</v>
      </c>
      <c r="B44" s="51"/>
      <c r="C44" s="51"/>
      <c r="D44" s="52">
        <f>SUM(D45:D51)</f>
        <v>24000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8" customHeight="1">
      <c r="A45" s="210" t="s">
        <v>135</v>
      </c>
      <c r="B45" s="37">
        <v>2000</v>
      </c>
      <c r="C45" s="53">
        <v>12</v>
      </c>
      <c r="D45" s="39">
        <f t="shared" ref="D45:D51" si="5">B45*C45</f>
        <v>24000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hidden="1" customHeight="1">
      <c r="A46" s="164"/>
      <c r="B46" s="37"/>
      <c r="C46" s="53"/>
      <c r="D46" s="39">
        <f t="shared" si="5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hidden="1" customHeight="1">
      <c r="A47" s="36"/>
      <c r="B47" s="37"/>
      <c r="C47" s="53"/>
      <c r="D47" s="39">
        <f t="shared" si="5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hidden="1" customHeight="1">
      <c r="A48" s="36"/>
      <c r="B48" s="37"/>
      <c r="C48" s="53"/>
      <c r="D48" s="39">
        <f t="shared" si="5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hidden="1" customHeight="1">
      <c r="A49" s="36"/>
      <c r="B49" s="37"/>
      <c r="C49" s="53"/>
      <c r="D49" s="39">
        <f t="shared" si="5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hidden="1" customHeight="1">
      <c r="A50" s="36"/>
      <c r="B50" s="37"/>
      <c r="C50" s="53"/>
      <c r="D50" s="39">
        <f t="shared" si="5"/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hidden="1" customHeight="1">
      <c r="A51" s="36"/>
      <c r="B51" s="37"/>
      <c r="C51" s="53"/>
      <c r="D51" s="39">
        <f t="shared" si="5"/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hidden="1" customHeight="1">
      <c r="A52" s="50" t="s">
        <v>33</v>
      </c>
      <c r="B52" s="54"/>
      <c r="C52" s="55"/>
      <c r="D52" s="56">
        <f>SUM(D53:D59)</f>
        <v>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8" hidden="1" customHeight="1">
      <c r="A53" s="36"/>
      <c r="B53" s="37"/>
      <c r="C53" s="53"/>
      <c r="D53" s="39">
        <f t="shared" ref="D53:D59" si="6">B53*C53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hidden="1" customHeight="1">
      <c r="A54" s="36"/>
      <c r="B54" s="37"/>
      <c r="C54" s="53"/>
      <c r="D54" s="39">
        <f t="shared" si="6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hidden="1" customHeight="1">
      <c r="A55" s="36"/>
      <c r="B55" s="37"/>
      <c r="C55" s="53"/>
      <c r="D55" s="39">
        <f t="shared" si="6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hidden="1" customHeight="1">
      <c r="A56" s="36"/>
      <c r="B56" s="37"/>
      <c r="C56" s="53"/>
      <c r="D56" s="39">
        <f t="shared" si="6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hidden="1" customHeight="1">
      <c r="A57" s="36"/>
      <c r="B57" s="37"/>
      <c r="C57" s="53"/>
      <c r="D57" s="39">
        <f t="shared" si="6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hidden="1" customHeight="1">
      <c r="A58" s="36"/>
      <c r="B58" s="37"/>
      <c r="C58" s="53"/>
      <c r="D58" s="39">
        <f t="shared" si="6"/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hidden="1" customHeight="1">
      <c r="A59" s="36"/>
      <c r="B59" s="37"/>
      <c r="C59" s="53"/>
      <c r="D59" s="39">
        <f t="shared" si="6"/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hidden="1" customHeight="1">
      <c r="A60" s="50" t="s">
        <v>34</v>
      </c>
      <c r="B60" s="57"/>
      <c r="C60" s="57"/>
      <c r="D60" s="58">
        <f>D61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8" hidden="1" customHeight="1">
      <c r="A61" s="36"/>
      <c r="B61" s="37"/>
      <c r="C61" s="59"/>
      <c r="D61" s="39">
        <f>B61*C61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hidden="1" customHeight="1">
      <c r="A62" s="50" t="s">
        <v>35</v>
      </c>
      <c r="B62" s="57"/>
      <c r="C62" s="57"/>
      <c r="D62" s="57">
        <f>SUM(D63:D64)</f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" hidden="1" customHeight="1">
      <c r="A63" s="36"/>
      <c r="B63" s="37"/>
      <c r="C63" s="37"/>
      <c r="D63" s="39">
        <f t="shared" ref="D63:D64" si="7">B63*C63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8" hidden="1" customHeight="1">
      <c r="A64" s="9"/>
      <c r="B64" s="37"/>
      <c r="C64" s="37"/>
      <c r="D64" s="39">
        <f t="shared" si="7"/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8" hidden="1" customHeight="1">
      <c r="A65" s="50" t="s">
        <v>36</v>
      </c>
      <c r="B65" s="57"/>
      <c r="C65" s="57"/>
      <c r="D65" s="57">
        <f>SUM(D66:D67)</f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8" hidden="1" customHeight="1">
      <c r="A66" s="36"/>
      <c r="B66" s="37"/>
      <c r="C66" s="37"/>
      <c r="D66" s="39">
        <f t="shared" ref="D66:D67" si="8">B66*C66</f>
        <v>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8" hidden="1" customHeight="1">
      <c r="A67" s="60"/>
      <c r="B67" s="37"/>
      <c r="C67" s="37"/>
      <c r="D67" s="39">
        <f t="shared" si="8"/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" customHeight="1">
      <c r="A68" s="61" t="s">
        <v>37</v>
      </c>
      <c r="B68" s="62"/>
      <c r="C68" s="63"/>
      <c r="D68" s="64">
        <f>D44+D52+D60+D62+D65</f>
        <v>24000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8" hidden="1" customHeight="1">
      <c r="A69" s="65"/>
      <c r="B69" s="66"/>
      <c r="C69" s="66"/>
      <c r="D69" s="6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8" hidden="1" customHeight="1">
      <c r="A70" s="15" t="s">
        <v>38</v>
      </c>
      <c r="B70" s="67"/>
      <c r="C70" s="67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8" hidden="1" customHeight="1">
      <c r="A71" s="69" t="s">
        <v>27</v>
      </c>
      <c r="B71" s="19" t="s">
        <v>39</v>
      </c>
      <c r="C71" s="19" t="s">
        <v>40</v>
      </c>
      <c r="D71" s="70" t="s">
        <v>14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8" hidden="1" customHeight="1">
      <c r="A72" s="71" t="s">
        <v>41</v>
      </c>
      <c r="B72" s="72"/>
      <c r="C72" s="73"/>
      <c r="D72" s="58">
        <f>D73+D76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hidden="1" customHeight="1">
      <c r="A73" s="74" t="s">
        <v>42</v>
      </c>
      <c r="B73" s="75"/>
      <c r="C73" s="76"/>
      <c r="D73" s="77">
        <f>SUM(D74:D75)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hidden="1" customHeight="1">
      <c r="A74" s="36"/>
      <c r="B74" s="78"/>
      <c r="C74" s="79"/>
      <c r="D74" s="39">
        <f t="shared" ref="D74:D75" si="9">B74*C74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hidden="1" customHeight="1">
      <c r="A75" s="36"/>
      <c r="B75" s="37"/>
      <c r="C75" s="79"/>
      <c r="D75" s="39">
        <f t="shared" si="9"/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hidden="1" customHeight="1">
      <c r="A76" s="74" t="s">
        <v>44</v>
      </c>
      <c r="B76" s="75"/>
      <c r="C76" s="76"/>
      <c r="D76" s="77">
        <f>SUM(D77)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hidden="1" customHeight="1">
      <c r="A77" s="36"/>
      <c r="B77" s="78"/>
      <c r="C77" s="79"/>
      <c r="D77" s="39">
        <f t="shared" ref="D77:D79" si="10">B77*C77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hidden="1" customHeight="1">
      <c r="A78" s="71" t="s">
        <v>46</v>
      </c>
      <c r="B78" s="80"/>
      <c r="C78" s="79"/>
      <c r="D78" s="58">
        <f t="shared" si="10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8" hidden="1" customHeight="1">
      <c r="A79" s="71" t="s">
        <v>47</v>
      </c>
      <c r="B79" s="80"/>
      <c r="C79" s="79"/>
      <c r="D79" s="58">
        <f t="shared" si="10"/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8" hidden="1" customHeight="1">
      <c r="A80" s="71" t="s">
        <v>48</v>
      </c>
      <c r="B80" s="81"/>
      <c r="C80" s="82"/>
      <c r="D80" s="58">
        <v>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8" hidden="1" customHeight="1">
      <c r="A81" s="61" t="s">
        <v>25</v>
      </c>
      <c r="B81" s="62"/>
      <c r="C81" s="83"/>
      <c r="D81" s="84">
        <f>D72+D78+D79+D80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hidden="1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hidden="1" customHeight="1">
      <c r="A83" s="85"/>
      <c r="B83" s="86"/>
      <c r="C83" s="87"/>
      <c r="D83" s="4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88" t="s">
        <v>49</v>
      </c>
      <c r="B84" s="89"/>
      <c r="C84" s="90"/>
      <c r="D84" s="89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5" customHeight="1">
      <c r="A85" s="92" t="s">
        <v>50</v>
      </c>
      <c r="B85" s="93"/>
      <c r="C85" s="93"/>
      <c r="D85" s="93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s="172" customFormat="1" ht="44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s="172" customFormat="1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s="172" customFormat="1" ht="13.5" customHeight="1">
      <c r="A88" s="210" t="s">
        <v>140</v>
      </c>
      <c r="B88" s="201">
        <v>31888.799999999999</v>
      </c>
      <c r="C88" s="201">
        <f t="shared" ref="C88:C100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s="172" customFormat="1" ht="13.5" customHeight="1">
      <c r="A89" s="210" t="s">
        <v>272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s="172" customFormat="1" ht="13.5" customHeight="1">
      <c r="A90" s="200" t="s">
        <v>141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s="172" customFormat="1" ht="13.5" customHeight="1">
      <c r="A91" s="210" t="s">
        <v>142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s="172" customFormat="1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s="172" customFormat="1" ht="13.5" customHeight="1">
      <c r="A93" s="210" t="s">
        <v>273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s="172" customFormat="1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s="172" customFormat="1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s="172" customFormat="1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s="172" customFormat="1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s="172" customFormat="1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s="172" customFormat="1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s="172" customFormat="1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" si="13">B100*C100</f>
        <v>194160</v>
      </c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spans="1:26" s="172" customFormat="1" ht="13.5" customHeight="1">
      <c r="A101" s="200" t="s">
        <v>116</v>
      </c>
      <c r="B101" s="201">
        <v>13724.5</v>
      </c>
      <c r="C101" s="201">
        <f t="shared" ref="C101:C107" si="14">$B$7</f>
        <v>12</v>
      </c>
      <c r="D101" s="198">
        <f t="shared" ref="D101:D107" si="15">B101*C101</f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s="172" customFormat="1" ht="13.5" customHeight="1">
      <c r="A102" s="210" t="s">
        <v>136</v>
      </c>
      <c r="B102" s="201">
        <v>15224.5</v>
      </c>
      <c r="C102" s="201">
        <f t="shared" si="14"/>
        <v>12</v>
      </c>
      <c r="D102" s="198">
        <f t="shared" si="15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s="172" customFormat="1" ht="13.5" customHeight="1">
      <c r="A103" s="200" t="s">
        <v>19</v>
      </c>
      <c r="B103" s="201">
        <v>45129</v>
      </c>
      <c r="C103" s="201">
        <f t="shared" si="14"/>
        <v>12</v>
      </c>
      <c r="D103" s="198">
        <f t="shared" si="15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s="172" customFormat="1" ht="13.5" hidden="1" customHeight="1">
      <c r="A104" s="200"/>
      <c r="B104" s="201"/>
      <c r="C104" s="201">
        <f t="shared" si="14"/>
        <v>12</v>
      </c>
      <c r="D104" s="198">
        <f t="shared" si="15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s="172" customFormat="1" ht="13.5" hidden="1" customHeight="1">
      <c r="A105" s="200"/>
      <c r="B105" s="201"/>
      <c r="C105" s="201">
        <f t="shared" si="14"/>
        <v>12</v>
      </c>
      <c r="D105" s="198">
        <f t="shared" si="15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s="172" customFormat="1" ht="13.5" hidden="1" customHeight="1">
      <c r="A106" s="200"/>
      <c r="B106" s="201"/>
      <c r="C106" s="201">
        <f t="shared" si="14"/>
        <v>12</v>
      </c>
      <c r="D106" s="198">
        <f t="shared" si="15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s="172" customFormat="1" ht="13.5" hidden="1" customHeight="1">
      <c r="A107" s="200"/>
      <c r="B107" s="201"/>
      <c r="C107" s="201">
        <f t="shared" si="14"/>
        <v>12</v>
      </c>
      <c r="D107" s="198">
        <f t="shared" si="15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s="172" customFormat="1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s="172" customFormat="1" ht="13.5" customHeight="1">
      <c r="A109" s="173" t="s">
        <v>117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s="172" customFormat="1" ht="15.75" customHeigh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s="172" customFormat="1" ht="13.5" customHeight="1">
      <c r="A111" s="214"/>
      <c r="B111" s="215"/>
      <c r="C111" s="215"/>
      <c r="D111" s="215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 customHeight="1">
      <c r="A112" s="15" t="s">
        <v>62</v>
      </c>
      <c r="B112" s="67"/>
      <c r="C112" s="101"/>
      <c r="D112" s="6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s="172" customFormat="1" ht="25.5" customHeight="1">
      <c r="A113" s="206" t="s">
        <v>27</v>
      </c>
      <c r="B113" s="182" t="s">
        <v>28</v>
      </c>
      <c r="C113" s="182" t="s">
        <v>40</v>
      </c>
      <c r="D113" s="207" t="s">
        <v>14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s="172" customFormat="1" ht="25.5" customHeight="1">
      <c r="A114" s="216" t="s">
        <v>63</v>
      </c>
      <c r="B114" s="217"/>
      <c r="C114" s="217"/>
      <c r="D114" s="218">
        <f>SUM(D115:D118)</f>
        <v>250000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s="172" customFormat="1" ht="24.75" customHeight="1">
      <c r="A115" s="200" t="s">
        <v>32</v>
      </c>
      <c r="B115" s="201">
        <v>35000</v>
      </c>
      <c r="C115" s="197">
        <v>2</v>
      </c>
      <c r="D115" s="198">
        <f t="shared" ref="D115:D118" si="16">B115*C115</f>
        <v>70000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s="172" customFormat="1" ht="13.5" customHeight="1">
      <c r="A116" s="210" t="s">
        <v>135</v>
      </c>
      <c r="B116" s="201">
        <v>180000</v>
      </c>
      <c r="C116" s="197">
        <v>1</v>
      </c>
      <c r="D116" s="198">
        <f t="shared" si="16"/>
        <v>180000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s="172" customFormat="1" ht="13.5" hidden="1" customHeight="1">
      <c r="A117" s="200"/>
      <c r="B117" s="201"/>
      <c r="C117" s="197"/>
      <c r="D117" s="198">
        <f t="shared" si="16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s="172" customFormat="1" ht="13.5" hidden="1" customHeight="1">
      <c r="A118" s="200"/>
      <c r="B118" s="201"/>
      <c r="C118" s="197"/>
      <c r="D118" s="198">
        <f t="shared" si="16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s="172" customFormat="1" ht="13.5" hidden="1" customHeight="1">
      <c r="A119" s="216" t="s">
        <v>64</v>
      </c>
      <c r="B119" s="189"/>
      <c r="C119" s="189"/>
      <c r="D119" s="190">
        <f>SUM(D120:D124)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s="172" customFormat="1" ht="13.5" hidden="1" customHeight="1">
      <c r="A120" s="200"/>
      <c r="B120" s="201"/>
      <c r="C120" s="197"/>
      <c r="D120" s="198">
        <f t="shared" ref="D120:D124" si="17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s="172" customFormat="1" ht="13.5" hidden="1" customHeight="1">
      <c r="A121" s="219"/>
      <c r="B121" s="201"/>
      <c r="C121" s="197"/>
      <c r="D121" s="198">
        <f t="shared" si="17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s="172" customFormat="1" ht="13.5" hidden="1" customHeight="1">
      <c r="A122" s="219"/>
      <c r="B122" s="201"/>
      <c r="C122" s="197"/>
      <c r="D122" s="198">
        <f t="shared" si="17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s="172" customFormat="1" ht="13.5" hidden="1" customHeight="1">
      <c r="A123" s="219"/>
      <c r="B123" s="201"/>
      <c r="C123" s="197"/>
      <c r="D123" s="198">
        <f t="shared" si="17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s="172" customFormat="1" ht="13.5" hidden="1" customHeight="1">
      <c r="A124" s="219"/>
      <c r="B124" s="201"/>
      <c r="C124" s="197"/>
      <c r="D124" s="198">
        <f t="shared" si="17"/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s="172" customFormat="1" ht="13.5" hidden="1" customHeight="1">
      <c r="A125" s="216" t="s">
        <v>65</v>
      </c>
      <c r="B125" s="189"/>
      <c r="C125" s="189"/>
      <c r="D125" s="189">
        <f>SUM(D126:D127)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s="172" customFormat="1" ht="13.5" hidden="1" customHeight="1">
      <c r="A126" s="220"/>
      <c r="B126" s="201"/>
      <c r="C126" s="201"/>
      <c r="D126" s="198">
        <f t="shared" ref="D126:D127" si="18">B126*C126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s="172" customFormat="1" ht="13.5" hidden="1" customHeight="1">
      <c r="A127" s="220"/>
      <c r="B127" s="201"/>
      <c r="C127" s="201"/>
      <c r="D127" s="198">
        <f t="shared" si="18"/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s="172" customFormat="1" ht="15.75" customHeight="1">
      <c r="A128" s="178" t="s">
        <v>25</v>
      </c>
      <c r="B128" s="221"/>
      <c r="C128" s="221"/>
      <c r="D128" s="213">
        <f>D114+D119+D125</f>
        <v>250000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s="172" customFormat="1" ht="13.5" customHeight="1">
      <c r="A129" s="177"/>
      <c r="B129" s="215"/>
      <c r="C129" s="222"/>
      <c r="D129" s="21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s="172" customFormat="1" ht="21.75" customHeight="1">
      <c r="A130" s="223" t="s">
        <v>66</v>
      </c>
      <c r="B130" s="224"/>
      <c r="C130" s="225"/>
      <c r="D130" s="224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s="172" customFormat="1" ht="23.25" customHeight="1">
      <c r="A131" s="206" t="s">
        <v>27</v>
      </c>
      <c r="B131" s="182" t="s">
        <v>28</v>
      </c>
      <c r="C131" s="182" t="s">
        <v>40</v>
      </c>
      <c r="D131" s="207" t="s">
        <v>14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s="172" customFormat="1" ht="13.5" hidden="1" customHeight="1">
      <c r="A132" s="227" t="s">
        <v>67</v>
      </c>
      <c r="B132" s="228"/>
      <c r="C132" s="228"/>
      <c r="D132" s="190"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s="172" customFormat="1" ht="13.5" customHeight="1">
      <c r="A133" s="227" t="s">
        <v>68</v>
      </c>
      <c r="B133" s="228"/>
      <c r="C133" s="228"/>
      <c r="D133" s="190">
        <f>SUM(D134:D140)</f>
        <v>545000.15999999992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s="172" customFormat="1" ht="13.5" customHeight="1">
      <c r="A134" s="229" t="s">
        <v>137</v>
      </c>
      <c r="B134" s="230">
        <v>7916.67</v>
      </c>
      <c r="C134" s="231">
        <v>12</v>
      </c>
      <c r="D134" s="198">
        <f>B134*C134</f>
        <v>95000.040000000008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s="172" customFormat="1" ht="13.5" customHeight="1">
      <c r="A135" s="232" t="s">
        <v>70</v>
      </c>
      <c r="B135" s="233">
        <v>4166.67</v>
      </c>
      <c r="C135" s="234">
        <v>12</v>
      </c>
      <c r="D135" s="198">
        <f>B135*C135</f>
        <v>50000.04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s="172" customFormat="1" ht="13.5" customHeight="1">
      <c r="A136" s="232" t="s">
        <v>71</v>
      </c>
      <c r="B136" s="233">
        <v>33333.339999999997</v>
      </c>
      <c r="C136" s="234">
        <f>$B$7</f>
        <v>12</v>
      </c>
      <c r="D136" s="198">
        <f>B136*C136</f>
        <v>400000.07999999996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s="172" customFormat="1" ht="13.5" hidden="1" customHeight="1">
      <c r="A137" s="232"/>
      <c r="B137" s="235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s="172" customFormat="1" ht="13.5" hidden="1" customHeight="1">
      <c r="A138" s="232"/>
      <c r="B138" s="233"/>
      <c r="C138" s="236"/>
      <c r="D138" s="198">
        <f t="shared" ref="D138:D140" si="19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s="172" customFormat="1" ht="13.5" hidden="1" customHeight="1">
      <c r="A139" s="232"/>
      <c r="B139" s="233"/>
      <c r="C139" s="236"/>
      <c r="D139" s="198">
        <f t="shared" si="19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s="172" customFormat="1" ht="13.5" hidden="1" customHeight="1">
      <c r="A140" s="232"/>
      <c r="B140" s="233"/>
      <c r="C140" s="236"/>
      <c r="D140" s="198">
        <f t="shared" si="19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s="172" customFormat="1" ht="13.5" customHeight="1">
      <c r="A141" s="173" t="s">
        <v>72</v>
      </c>
      <c r="B141" s="217"/>
      <c r="C141" s="217"/>
      <c r="D141" s="190">
        <f>SUM(D142:D144)</f>
        <v>14760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s="172" customFormat="1" ht="13.5" hidden="1" customHeight="1">
      <c r="A142" s="232"/>
      <c r="B142" s="233"/>
      <c r="C142" s="234"/>
      <c r="D142" s="198">
        <f t="shared" ref="D142:D144" si="20"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s="172" customFormat="1" ht="13.5" customHeight="1">
      <c r="A143" s="232" t="s">
        <v>274</v>
      </c>
      <c r="B143" s="233">
        <v>1230</v>
      </c>
      <c r="C143" s="234">
        <f t="shared" ref="C143" si="21">$B$7</f>
        <v>12</v>
      </c>
      <c r="D143" s="198">
        <f t="shared" si="20"/>
        <v>14760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s="172" customFormat="1" ht="13.5" hidden="1" customHeight="1">
      <c r="A144" s="232"/>
      <c r="B144" s="233"/>
      <c r="C144" s="236"/>
      <c r="D144" s="198">
        <f t="shared" si="20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s="172" customFormat="1" ht="13.5" hidden="1" customHeight="1">
      <c r="A145" s="227" t="s">
        <v>75</v>
      </c>
      <c r="B145" s="237"/>
      <c r="C145" s="238"/>
      <c r="D145" s="190">
        <f>SUM(D146)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s="172" customFormat="1" ht="13.5" hidden="1" customHeight="1">
      <c r="A146" s="232"/>
      <c r="B146" s="239"/>
      <c r="C146" s="240"/>
      <c r="D146" s="198">
        <f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s="172" customFormat="1" ht="13.5" hidden="1" customHeight="1">
      <c r="A147" s="173" t="s">
        <v>77</v>
      </c>
      <c r="B147" s="237"/>
      <c r="C147" s="237"/>
      <c r="D147" s="186">
        <f>SUM(D148:D149)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s="172" customFormat="1" ht="13.5" hidden="1" customHeight="1">
      <c r="A148" s="241"/>
      <c r="B148" s="237"/>
      <c r="C148" s="238"/>
      <c r="D148" s="198">
        <f t="shared" ref="D148:D149" si="22">B148*C148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s="172" customFormat="1" ht="13.5" hidden="1" customHeight="1">
      <c r="A149" s="173"/>
      <c r="B149" s="236"/>
      <c r="C149" s="236"/>
      <c r="D149" s="198">
        <f t="shared" si="22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s="172" customFormat="1" ht="13.5" customHeight="1">
      <c r="A150" s="173" t="s">
        <v>79</v>
      </c>
      <c r="B150" s="186"/>
      <c r="C150" s="242"/>
      <c r="D150" s="190">
        <f>SUM(D151:D154)</f>
        <v>30000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s="172" customFormat="1" ht="13.5" customHeight="1">
      <c r="A151" s="241" t="s">
        <v>1</v>
      </c>
      <c r="B151" s="237">
        <v>2500</v>
      </c>
      <c r="C151" s="238">
        <f>$B$7</f>
        <v>12</v>
      </c>
      <c r="D151" s="198">
        <f t="shared" ref="D151:D154" si="23">B151*C151</f>
        <v>30000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s="172" customFormat="1" ht="13.5" hidden="1" customHeight="1">
      <c r="A152" s="232"/>
      <c r="B152" s="239"/>
      <c r="C152" s="240"/>
      <c r="D152" s="198">
        <f t="shared" si="2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s="172" customFormat="1" ht="13.5" hidden="1" customHeight="1">
      <c r="A153" s="232"/>
      <c r="B153" s="239"/>
      <c r="C153" s="240"/>
      <c r="D153" s="198">
        <f t="shared" si="2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s="172" customFormat="1" ht="13.5" hidden="1" customHeight="1">
      <c r="A154" s="232"/>
      <c r="B154" s="239"/>
      <c r="C154" s="240"/>
      <c r="D154" s="198">
        <f t="shared" si="23"/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s="172" customFormat="1" ht="13.5" customHeight="1">
      <c r="A155" s="173" t="s">
        <v>80</v>
      </c>
      <c r="B155" s="186"/>
      <c r="C155" s="242"/>
      <c r="D155" s="190">
        <f>SUM(D156:D157)</f>
        <v>67848.72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s="172" customFormat="1" ht="13.5" customHeight="1">
      <c r="A156" s="243" t="s">
        <v>138</v>
      </c>
      <c r="B156" s="201">
        <v>5654.06</v>
      </c>
      <c r="C156" s="238">
        <f>$B$7</f>
        <v>12</v>
      </c>
      <c r="D156" s="198">
        <f t="shared" ref="D156:D157" si="24">B156*C156</f>
        <v>67848.72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s="172" customFormat="1" ht="13.5" hidden="1" customHeight="1">
      <c r="A157" s="241"/>
      <c r="B157" s="237"/>
      <c r="C157" s="238"/>
      <c r="D157" s="198">
        <f t="shared" si="24"/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s="172" customFormat="1" ht="13.5" hidden="1" customHeight="1">
      <c r="A158" s="173" t="s">
        <v>82</v>
      </c>
      <c r="B158" s="186"/>
      <c r="C158" s="242"/>
      <c r="D158" s="190">
        <f>SUM(D159)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s="172" customFormat="1" ht="13.5" hidden="1" customHeight="1">
      <c r="A159" s="241" t="s">
        <v>83</v>
      </c>
      <c r="B159" s="237"/>
      <c r="C159" s="238"/>
      <c r="D159" s="198">
        <f>B159*C159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s="172" customFormat="1" ht="13.5" hidden="1" customHeight="1">
      <c r="A160" s="241"/>
      <c r="B160" s="237"/>
      <c r="C160" s="238"/>
      <c r="D160" s="198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s="172" customFormat="1" ht="13.5" hidden="1" customHeight="1">
      <c r="A161" s="173" t="s">
        <v>84</v>
      </c>
      <c r="B161" s="186"/>
      <c r="C161" s="242"/>
      <c r="D161" s="190">
        <f>SUM(D162:D163)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s="172" customFormat="1" ht="13.5" hidden="1" customHeight="1">
      <c r="A162" s="241" t="s">
        <v>85</v>
      </c>
      <c r="B162" s="237"/>
      <c r="C162" s="238"/>
      <c r="D162" s="198">
        <f t="shared" ref="D162:D163" si="25">B162*C162</f>
        <v>0</v>
      </c>
      <c r="E162" s="177"/>
      <c r="F162" s="177"/>
      <c r="G162" s="177">
        <f>8048.2+50299+9501.58</f>
        <v>67848.78</v>
      </c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s="172" customFormat="1" ht="13.5" hidden="1" customHeight="1">
      <c r="A163" s="241"/>
      <c r="B163" s="237"/>
      <c r="C163" s="238"/>
      <c r="D163" s="198">
        <f t="shared" si="25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s="172" customFormat="1" ht="13.5" hidden="1" customHeight="1">
      <c r="A164" s="173" t="s">
        <v>48</v>
      </c>
      <c r="B164" s="186"/>
      <c r="C164" s="242"/>
      <c r="D164" s="190">
        <f>SUM(D165:D167)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s="172" customFormat="1" ht="13.5" hidden="1" customHeight="1">
      <c r="A165" s="241" t="s">
        <v>2</v>
      </c>
      <c r="B165" s="237"/>
      <c r="C165" s="238"/>
      <c r="D165" s="198">
        <f t="shared" ref="D165:D167" si="26">B165*C165</f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s="172" customFormat="1" ht="13.5" hidden="1" customHeight="1">
      <c r="A166" s="241"/>
      <c r="B166" s="237"/>
      <c r="C166" s="238"/>
      <c r="D166" s="198">
        <f t="shared" si="26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s="172" customFormat="1" ht="13.5" hidden="1" customHeight="1">
      <c r="A167" s="241"/>
      <c r="B167" s="237"/>
      <c r="C167" s="238"/>
      <c r="D167" s="198">
        <f t="shared" si="26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s="172" customFormat="1" ht="15.75" customHeight="1">
      <c r="A168" s="203" t="s">
        <v>25</v>
      </c>
      <c r="B168" s="204"/>
      <c r="C168" s="244"/>
      <c r="D168" s="213">
        <f>D132+D137+D133+D141+D145+D147+D150+D155+D158+D161+D164</f>
        <v>657608.87999999989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s="172" customFormat="1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11"/>
      <c r="B170" s="109"/>
      <c r="C170" s="109"/>
      <c r="D170" s="109"/>
      <c r="E170" s="109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1.75" customHeight="1">
      <c r="A171" s="92" t="s">
        <v>86</v>
      </c>
      <c r="B171" s="17"/>
      <c r="C171" s="17"/>
      <c r="D171" s="17"/>
      <c r="E171" s="126"/>
      <c r="F171" s="93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1.75" customHeight="1">
      <c r="A172" s="92" t="s">
        <v>87</v>
      </c>
      <c r="B172" s="17"/>
      <c r="C172" s="17"/>
      <c r="D172" s="17"/>
      <c r="E172" s="126"/>
      <c r="F172" s="93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s="172" customFormat="1" ht="15.75" customHeight="1">
      <c r="A173" s="168" t="s">
        <v>88</v>
      </c>
      <c r="B173" s="245" t="s">
        <v>89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s="172" customFormat="1" ht="13.5" customHeight="1">
      <c r="A174" s="241" t="s">
        <v>90</v>
      </c>
      <c r="B174" s="246">
        <f>D40</f>
        <v>249787.07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s="172" customFormat="1" ht="13.5" customHeight="1">
      <c r="A175" s="241" t="s">
        <v>91</v>
      </c>
      <c r="B175" s="246">
        <v>11516072.68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s="172" customFormat="1" ht="15.75" customHeight="1">
      <c r="A176" s="203" t="s">
        <v>92</v>
      </c>
      <c r="B176" s="205">
        <f>B174/B175</f>
        <v>2.1690299891368871E-2</v>
      </c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s="172" customFormat="1" ht="13.5" customHeight="1">
      <c r="A177" s="247"/>
      <c r="B177" s="177"/>
      <c r="C177" s="177"/>
      <c r="D177" s="177"/>
      <c r="F177" s="222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s="172" customFormat="1" ht="21.75" customHeight="1">
      <c r="A178" s="248" t="s">
        <v>93</v>
      </c>
      <c r="B178" s="226"/>
      <c r="C178" s="226"/>
      <c r="D178" s="226"/>
      <c r="E178" s="249"/>
      <c r="F178" s="225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s="172" customFormat="1" ht="46.5" customHeight="1">
      <c r="A179" s="181" t="s">
        <v>88</v>
      </c>
      <c r="B179" s="182" t="s">
        <v>14</v>
      </c>
      <c r="C179" s="182" t="s">
        <v>94</v>
      </c>
      <c r="D179" s="250" t="s">
        <v>95</v>
      </c>
      <c r="E179" s="251" t="s">
        <v>96</v>
      </c>
      <c r="F179" s="252" t="s">
        <v>96</v>
      </c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</row>
    <row r="180" spans="1:26" s="172" customFormat="1" ht="13.5" customHeight="1">
      <c r="A180" s="173" t="s">
        <v>97</v>
      </c>
      <c r="B180" s="186"/>
      <c r="C180" s="242"/>
      <c r="D180" s="254"/>
      <c r="E180" s="255"/>
      <c r="F180" s="256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s="172" customFormat="1" ht="13.5" customHeight="1">
      <c r="A181" s="241" t="s">
        <v>98</v>
      </c>
      <c r="B181" s="233">
        <f>D40</f>
        <v>249787.07</v>
      </c>
      <c r="C181" s="257" t="s">
        <v>99</v>
      </c>
      <c r="D181" s="258">
        <f t="shared" ref="D181:D183" si="27">B181</f>
        <v>249787.07</v>
      </c>
      <c r="E181" s="259">
        <f>D181/B4/B5</f>
        <v>119.62982279693487</v>
      </c>
      <c r="F181" s="260">
        <f t="shared" ref="F181:F183" si="28">E181</f>
        <v>119.62982279693487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s="172" customFormat="1" ht="13.5" customHeight="1">
      <c r="A182" s="241" t="s">
        <v>100</v>
      </c>
      <c r="B182" s="233">
        <f>D68</f>
        <v>24000</v>
      </c>
      <c r="C182" s="257" t="s">
        <v>99</v>
      </c>
      <c r="D182" s="258">
        <f t="shared" si="27"/>
        <v>24000</v>
      </c>
      <c r="E182" s="259">
        <f>B182/B4/B5</f>
        <v>11.494252873563218</v>
      </c>
      <c r="F182" s="260">
        <f t="shared" si="28"/>
        <v>11.494252873563218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s="172" customFormat="1" ht="13.5" customHeight="1">
      <c r="A183" s="241" t="s">
        <v>101</v>
      </c>
      <c r="B183" s="233">
        <f>D81</f>
        <v>0</v>
      </c>
      <c r="C183" s="257" t="s">
        <v>99</v>
      </c>
      <c r="D183" s="258">
        <f t="shared" si="27"/>
        <v>0</v>
      </c>
      <c r="E183" s="259">
        <f>B183/B4/B5</f>
        <v>0</v>
      </c>
      <c r="F183" s="260">
        <f t="shared" si="28"/>
        <v>0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s="172" customFormat="1" ht="13.5" customHeight="1">
      <c r="A184" s="261" t="s">
        <v>102</v>
      </c>
      <c r="B184" s="186">
        <f>SUM(B181:B183)</f>
        <v>273787.07</v>
      </c>
      <c r="C184" s="186"/>
      <c r="D184" s="262">
        <f t="shared" ref="D184:F184" si="29">SUM(D181:D183)</f>
        <v>273787.07</v>
      </c>
      <c r="E184" s="263">
        <f t="shared" si="29"/>
        <v>131.12407567049809</v>
      </c>
      <c r="F184" s="187">
        <f t="shared" si="29"/>
        <v>131.12407567049809</v>
      </c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s="172" customFormat="1" ht="13.5" customHeight="1">
      <c r="A185" s="173" t="s">
        <v>103</v>
      </c>
      <c r="B185" s="186"/>
      <c r="C185" s="242"/>
      <c r="D185" s="254"/>
      <c r="E185" s="255"/>
      <c r="F185" s="264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s="172" customFormat="1" ht="13.5" customHeight="1">
      <c r="A186" s="241" t="s">
        <v>98</v>
      </c>
      <c r="B186" s="237">
        <f>D110</f>
        <v>5800907.0448000003</v>
      </c>
      <c r="C186" s="237">
        <f t="shared" ref="C186:C188" si="30">$B$176</f>
        <v>2.1690299891368871E-2</v>
      </c>
      <c r="D186" s="258">
        <f t="shared" ref="D186:D188" si="31">B186*C186</f>
        <v>125823.41344366636</v>
      </c>
      <c r="E186" s="259">
        <f>D186/B4/B5</f>
        <v>60.260255480683121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s="172" customFormat="1" ht="13.5" customHeight="1">
      <c r="A187" s="241" t="s">
        <v>100</v>
      </c>
      <c r="B187" s="237">
        <f>D128</f>
        <v>250000</v>
      </c>
      <c r="C187" s="237">
        <f t="shared" si="30"/>
        <v>2.1690299891368871E-2</v>
      </c>
      <c r="D187" s="258">
        <f t="shared" si="31"/>
        <v>5422.5749728422179</v>
      </c>
      <c r="E187" s="259">
        <f>D187/B4/B5</f>
        <v>2.597018665154319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s="172" customFormat="1" ht="13.5" customHeight="1">
      <c r="A188" s="241" t="s">
        <v>104</v>
      </c>
      <c r="B188" s="237">
        <f>D168</f>
        <v>657608.87999999989</v>
      </c>
      <c r="C188" s="237">
        <f t="shared" si="30"/>
        <v>2.1690299891368871E-2</v>
      </c>
      <c r="D188" s="258">
        <f t="shared" si="31"/>
        <v>14263.733818427203</v>
      </c>
      <c r="E188" s="259">
        <f>D188/B4/B5</f>
        <v>6.8312901429249058</v>
      </c>
      <c r="F188" s="26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s="172" customFormat="1" ht="13.5" customHeight="1">
      <c r="A189" s="261" t="s">
        <v>105</v>
      </c>
      <c r="B189" s="186">
        <f>SUM(B186:B188)</f>
        <v>6708515.9248000002</v>
      </c>
      <c r="C189" s="186"/>
      <c r="D189" s="262">
        <f t="shared" ref="D189:E189" si="32">SUM(D186:D188)</f>
        <v>145509.72223493576</v>
      </c>
      <c r="E189" s="263">
        <f t="shared" si="32"/>
        <v>69.688564288762336</v>
      </c>
      <c r="F189" s="187">
        <f>F181*15%</f>
        <v>17.94447341954023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s="172" customFormat="1" ht="15.75" customHeight="1">
      <c r="A190" s="265" t="s">
        <v>106</v>
      </c>
      <c r="B190" s="204"/>
      <c r="C190" s="204"/>
      <c r="D190" s="266"/>
      <c r="E190" s="267">
        <f t="shared" ref="E190:F190" si="33">E184+E189</f>
        <v>200.81263995926042</v>
      </c>
      <c r="F190" s="205">
        <f t="shared" si="33"/>
        <v>149.06854909003832</v>
      </c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s="172" customFormat="1" ht="13.5" customHeight="1">
      <c r="A191" s="247"/>
      <c r="B191" s="177"/>
      <c r="C191" s="177"/>
      <c r="D191" s="177"/>
      <c r="F191" s="222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s="172" customFormat="1" ht="13.5" customHeight="1">
      <c r="A192" s="268"/>
      <c r="B192" s="269"/>
      <c r="C192" s="222"/>
      <c r="D192" s="177"/>
      <c r="E192" s="270"/>
      <c r="F192" s="270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s="172" customFormat="1" ht="13.5" customHeight="1">
      <c r="A193" s="223" t="s">
        <v>107</v>
      </c>
      <c r="B193" s="248"/>
      <c r="C193" s="248"/>
      <c r="D193" s="248"/>
      <c r="E193" s="248"/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s="172" customFormat="1" ht="25.5" customHeight="1">
      <c r="A194" s="181" t="s">
        <v>108</v>
      </c>
      <c r="B194" s="182" t="s">
        <v>109</v>
      </c>
      <c r="C194" s="182" t="s">
        <v>110</v>
      </c>
      <c r="D194" s="182" t="s">
        <v>111</v>
      </c>
      <c r="E194" s="183" t="s">
        <v>14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s="172" customFormat="1" ht="24.75" customHeight="1">
      <c r="A195" s="173" t="s">
        <v>112</v>
      </c>
      <c r="B195" s="186">
        <f>MIN(E190,F190)</f>
        <v>149.06854909003832</v>
      </c>
      <c r="C195" s="271">
        <f>262*8</f>
        <v>2096</v>
      </c>
      <c r="D195" s="271">
        <v>1</v>
      </c>
      <c r="E195" s="187">
        <f>B195*C195*D195</f>
        <v>312447.67889272032</v>
      </c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s="172" customFormat="1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s="172" customFormat="1" ht="13.5" customHeight="1">
      <c r="A197" s="177"/>
      <c r="B197" s="177"/>
      <c r="C197" s="177"/>
      <c r="D197" s="177"/>
      <c r="E197" s="199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s="172" customFormat="1" ht="13.5" customHeight="1">
      <c r="A198" s="177"/>
      <c r="B198" s="177"/>
      <c r="C198" s="177"/>
      <c r="D198" s="177"/>
      <c r="E198" s="222"/>
      <c r="F198" s="272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s="172" customFormat="1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s="172" customFormat="1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s="172" customFormat="1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s="172" customFormat="1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s="172" customFormat="1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s="172" customFormat="1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s="172" customFormat="1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s="172" customFormat="1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s="172" customFormat="1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s="172" customFormat="1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s="172" customFormat="1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s="172" customFormat="1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s="172" customFormat="1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s="172" customFormat="1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s="172" customFormat="1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s="172" customFormat="1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s="172" customFormat="1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s="172" customFormat="1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s="172" customFormat="1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s="172" customFormat="1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s="172" customFormat="1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s="172" customFormat="1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s="172" customFormat="1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s="172" customFormat="1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s="172" customFormat="1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s="172" customFormat="1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s="172" customFormat="1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s="172" customFormat="1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s="172" customFormat="1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s="172" customFormat="1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s="172" customFormat="1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s="172" customFormat="1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s="172" customFormat="1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s="172" customFormat="1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s="172" customFormat="1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s="172" customFormat="1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s="172" customFormat="1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s="172" customFormat="1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s="172" customFormat="1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s="172" customFormat="1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s="172" customFormat="1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s="172" customFormat="1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s="172" customFormat="1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s="172" customFormat="1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s="172" customFormat="1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s="172" customFormat="1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s="172" customFormat="1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s="172" customFormat="1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s="172" customFormat="1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s="172" customFormat="1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 customHeight="1">
      <c r="A1001" s="100"/>
      <c r="B1001" s="109"/>
      <c r="C1001" s="109"/>
      <c r="D1001" s="109"/>
      <c r="E1001" s="109"/>
      <c r="F1001" s="109"/>
      <c r="G1001" s="109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hyperlinks>
    <hyperlink ref="E179" location="Google_Sheet_Link_278249023" display="Вартість на людино-годину, грн. [2]"/>
    <hyperlink ref="F179" location="Google_Sheet_Link_1070266638" display="Вартість на людино-годину, грн. [2]"/>
  </hyperlink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45"/>
  <sheetViews>
    <sheetView workbookViewId="0">
      <selection activeCell="A3" sqref="A3"/>
    </sheetView>
  </sheetViews>
  <sheetFormatPr defaultColWidth="14.42578125" defaultRowHeight="15" customHeight="1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144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283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15567</v>
      </c>
      <c r="C12" s="186"/>
      <c r="D12" s="187">
        <f>D13+D34</f>
        <v>202371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15567</v>
      </c>
      <c r="C13" s="189"/>
      <c r="D13" s="190">
        <f>D14+D19+D26</f>
        <v>202371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15567</v>
      </c>
      <c r="C14" s="192"/>
      <c r="D14" s="193">
        <f>SUM(D15:D18)</f>
        <v>202371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5.75" customHeight="1">
      <c r="A15" s="196" t="s">
        <v>145</v>
      </c>
      <c r="B15" s="201">
        <v>15567</v>
      </c>
      <c r="C15" s="197">
        <v>12</v>
      </c>
      <c r="D15" s="198">
        <f t="shared" ref="D15:D16" si="0">B15*C15</f>
        <v>186804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143</v>
      </c>
      <c r="B16" s="201">
        <v>15567</v>
      </c>
      <c r="C16" s="202">
        <v>1</v>
      </c>
      <c r="D16" s="198">
        <f t="shared" si="0"/>
        <v>15567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15567</v>
      </c>
      <c r="C38" s="186"/>
      <c r="D38" s="187">
        <f>D13+D34</f>
        <v>202371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44521.62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3.5" hidden="1" customHeight="1">
      <c r="A40" s="375"/>
      <c r="B40" s="376"/>
      <c r="C40" s="377"/>
      <c r="D40" s="378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hidden="1" customHeight="1">
      <c r="A41" s="375"/>
      <c r="B41" s="376"/>
      <c r="C41" s="377"/>
      <c r="D41" s="378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3.5" hidden="1" customHeight="1">
      <c r="A42" s="375"/>
      <c r="B42" s="376"/>
      <c r="C42" s="377"/>
      <c r="D42" s="378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3.5" hidden="1" customHeight="1">
      <c r="A43" s="375"/>
      <c r="B43" s="376"/>
      <c r="C43" s="377"/>
      <c r="D43" s="378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3.5" hidden="1" customHeight="1">
      <c r="A44" s="375"/>
      <c r="B44" s="376"/>
      <c r="C44" s="377"/>
      <c r="D44" s="378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3.5" hidden="1" customHeight="1">
      <c r="A45" s="375"/>
      <c r="B45" s="376"/>
      <c r="C45" s="377"/>
      <c r="D45" s="378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375"/>
      <c r="B46" s="376"/>
      <c r="C46" s="377"/>
      <c r="D46" s="378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375"/>
      <c r="B47" s="376"/>
      <c r="C47" s="377"/>
      <c r="D47" s="378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375"/>
      <c r="B48" s="376"/>
      <c r="C48" s="377"/>
      <c r="D48" s="378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375"/>
      <c r="B49" s="376"/>
      <c r="C49" s="377"/>
      <c r="D49" s="378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375"/>
      <c r="B50" s="376"/>
      <c r="C50" s="377"/>
      <c r="D50" s="378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375"/>
      <c r="B51" s="376"/>
      <c r="C51" s="377"/>
      <c r="D51" s="378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375"/>
      <c r="B52" s="376"/>
      <c r="C52" s="377"/>
      <c r="D52" s="378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375"/>
      <c r="B53" s="376"/>
      <c r="C53" s="377"/>
      <c r="D53" s="378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375"/>
      <c r="B54" s="376"/>
      <c r="C54" s="377"/>
      <c r="D54" s="378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375"/>
      <c r="B55" s="376"/>
      <c r="C55" s="377"/>
      <c r="D55" s="378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375"/>
      <c r="B56" s="376"/>
      <c r="C56" s="377"/>
      <c r="D56" s="378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375"/>
      <c r="B57" s="376"/>
      <c r="C57" s="377"/>
      <c r="D57" s="378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375"/>
      <c r="B58" s="376"/>
      <c r="C58" s="377"/>
      <c r="D58" s="378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375"/>
      <c r="B59" s="376"/>
      <c r="C59" s="377"/>
      <c r="D59" s="378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375"/>
      <c r="B60" s="376"/>
      <c r="C60" s="377"/>
      <c r="D60" s="378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hidden="1" customHeight="1">
      <c r="A61" s="375"/>
      <c r="B61" s="376"/>
      <c r="C61" s="377"/>
      <c r="D61" s="378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375"/>
      <c r="B62" s="376"/>
      <c r="C62" s="377"/>
      <c r="D62" s="378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3.5" hidden="1" customHeight="1">
      <c r="A63" s="375"/>
      <c r="B63" s="376"/>
      <c r="C63" s="377"/>
      <c r="D63" s="378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3.5" hidden="1" customHeight="1">
      <c r="A64" s="375"/>
      <c r="B64" s="376"/>
      <c r="C64" s="377"/>
      <c r="D64" s="378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3.5" hidden="1" customHeight="1">
      <c r="A65" s="375"/>
      <c r="B65" s="376"/>
      <c r="C65" s="377"/>
      <c r="D65" s="378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3.5" hidden="1" customHeight="1">
      <c r="A66" s="375"/>
      <c r="B66" s="376"/>
      <c r="C66" s="377"/>
      <c r="D66" s="378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3.5" hidden="1" customHeight="1">
      <c r="A67" s="375"/>
      <c r="B67" s="376"/>
      <c r="C67" s="377"/>
      <c r="D67" s="378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3.5" hidden="1" customHeight="1">
      <c r="A68" s="375"/>
      <c r="B68" s="376"/>
      <c r="C68" s="377"/>
      <c r="D68" s="378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3.5" hidden="1" customHeight="1">
      <c r="A69" s="375"/>
      <c r="B69" s="376"/>
      <c r="C69" s="377"/>
      <c r="D69" s="378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3.5" hidden="1" customHeight="1">
      <c r="A70" s="375"/>
      <c r="B70" s="376"/>
      <c r="C70" s="377"/>
      <c r="D70" s="378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375"/>
      <c r="B71" s="376"/>
      <c r="C71" s="377"/>
      <c r="D71" s="378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375"/>
      <c r="B72" s="376"/>
      <c r="C72" s="377"/>
      <c r="D72" s="378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375"/>
      <c r="B73" s="376"/>
      <c r="C73" s="377"/>
      <c r="D73" s="378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375"/>
      <c r="B74" s="376"/>
      <c r="C74" s="377"/>
      <c r="D74" s="378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375"/>
      <c r="B75" s="376"/>
      <c r="C75" s="377"/>
      <c r="D75" s="378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375"/>
      <c r="B76" s="376"/>
      <c r="C76" s="377"/>
      <c r="D76" s="378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375"/>
      <c r="B77" s="376"/>
      <c r="C77" s="377"/>
      <c r="D77" s="378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375"/>
      <c r="B78" s="376"/>
      <c r="C78" s="377"/>
      <c r="D78" s="378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3.5" hidden="1" customHeight="1">
      <c r="A79" s="375"/>
      <c r="B79" s="376"/>
      <c r="C79" s="377"/>
      <c r="D79" s="378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375"/>
      <c r="B80" s="376"/>
      <c r="C80" s="377"/>
      <c r="D80" s="378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375"/>
      <c r="B81" s="376"/>
      <c r="C81" s="377"/>
      <c r="D81" s="378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375"/>
      <c r="B82" s="376"/>
      <c r="C82" s="377"/>
      <c r="D82" s="378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375"/>
      <c r="B83" s="376"/>
      <c r="C83" s="377"/>
      <c r="D83" s="378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3.5" hidden="1" customHeight="1">
      <c r="A84" s="375"/>
      <c r="B84" s="376"/>
      <c r="C84" s="377"/>
      <c r="D84" s="378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hidden="1" customHeight="1">
      <c r="A85" s="375"/>
      <c r="B85" s="376"/>
      <c r="C85" s="377"/>
      <c r="D85" s="378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hidden="1" customHeight="1">
      <c r="A86" s="375"/>
      <c r="B86" s="376"/>
      <c r="C86" s="377"/>
      <c r="D86" s="378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hidden="1" customHeight="1">
      <c r="A87" s="375"/>
      <c r="B87" s="376"/>
      <c r="C87" s="377"/>
      <c r="D87" s="378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5.75" customHeight="1" thickBot="1">
      <c r="A88" s="203" t="s">
        <v>25</v>
      </c>
      <c r="B88" s="204">
        <f>SUM(B38:B39)</f>
        <v>15567</v>
      </c>
      <c r="C88" s="204"/>
      <c r="D88" s="205">
        <f>SUM(D38:D39)</f>
        <v>246892.62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74"/>
      <c r="B89" s="275"/>
      <c r="C89" s="275"/>
      <c r="D89" s="215"/>
      <c r="E89" s="215"/>
      <c r="F89" s="275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1.75" customHeight="1" thickBot="1">
      <c r="A90" s="223" t="s">
        <v>26</v>
      </c>
      <c r="B90" s="276"/>
      <c r="C90" s="277"/>
      <c r="D90" s="27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27" customHeight="1">
      <c r="A91" s="181" t="s">
        <v>27</v>
      </c>
      <c r="B91" s="182" t="s">
        <v>28</v>
      </c>
      <c r="C91" s="182" t="s">
        <v>29</v>
      </c>
      <c r="D91" s="183" t="s">
        <v>30</v>
      </c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</row>
    <row r="92" spans="1:26" ht="13.5" customHeight="1">
      <c r="A92" s="278" t="s">
        <v>0</v>
      </c>
      <c r="B92" s="279">
        <v>2000</v>
      </c>
      <c r="C92" s="279"/>
      <c r="D92" s="280">
        <f>SUM(D93:D97)</f>
        <v>24000</v>
      </c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</row>
    <row r="93" spans="1:26" ht="13.5" customHeight="1">
      <c r="A93" s="278" t="s">
        <v>0</v>
      </c>
      <c r="B93" s="201">
        <v>2000</v>
      </c>
      <c r="C93" s="197">
        <v>12</v>
      </c>
      <c r="D93" s="198">
        <f t="shared" ref="D93:D97" si="5">B93*C93</f>
        <v>24000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197"/>
      <c r="D94" s="198">
        <f t="shared" si="5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197"/>
      <c r="D95" s="198">
        <f t="shared" si="5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197"/>
      <c r="D96" s="198">
        <f t="shared" si="5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197"/>
      <c r="D97" s="198">
        <f t="shared" si="5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175" t="s">
        <v>33</v>
      </c>
      <c r="B98" s="281"/>
      <c r="C98" s="282"/>
      <c r="D98" s="212">
        <f>SUM(D99:D105)</f>
        <v>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hidden="1" customHeight="1">
      <c r="A99" s="200"/>
      <c r="B99" s="201"/>
      <c r="C99" s="197"/>
      <c r="D99" s="198">
        <f t="shared" ref="D99:D105" si="6">B99*C99</f>
        <v>0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00"/>
      <c r="B100" s="201"/>
      <c r="C100" s="197"/>
      <c r="D100" s="198">
        <f t="shared" si="6"/>
        <v>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/>
      <c r="B101" s="201"/>
      <c r="C101" s="197"/>
      <c r="D101" s="198">
        <f t="shared" si="6"/>
        <v>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197"/>
      <c r="D102" s="198">
        <f t="shared" si="6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197"/>
      <c r="D103" s="198">
        <f t="shared" si="6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197"/>
      <c r="D104" s="198">
        <f t="shared" si="6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197"/>
      <c r="D105" s="198">
        <f t="shared" si="6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175" t="s">
        <v>34</v>
      </c>
      <c r="B106" s="189"/>
      <c r="C106" s="189"/>
      <c r="D106" s="190">
        <f>D107</f>
        <v>0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</row>
    <row r="107" spans="1:26" ht="13.5" hidden="1" customHeight="1">
      <c r="A107" s="200"/>
      <c r="B107" s="201"/>
      <c r="C107" s="283"/>
      <c r="D107" s="198">
        <f>B107*C107</f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hidden="1" customHeight="1">
      <c r="A108" s="175" t="s">
        <v>35</v>
      </c>
      <c r="B108" s="189"/>
      <c r="C108" s="189"/>
      <c r="D108" s="189">
        <f>SUM(D109:D110)</f>
        <v>0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spans="1:26" ht="13.5" hidden="1" customHeight="1">
      <c r="A109" s="200"/>
      <c r="B109" s="201"/>
      <c r="C109" s="201"/>
      <c r="D109" s="198">
        <f t="shared" ref="D109:D110" si="7">B109*C109</f>
        <v>0</v>
      </c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</row>
    <row r="110" spans="1:26" ht="13.5" hidden="1" customHeight="1">
      <c r="A110" s="175"/>
      <c r="B110" s="201"/>
      <c r="C110" s="201"/>
      <c r="D110" s="198">
        <f t="shared" si="7"/>
        <v>0</v>
      </c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</row>
    <row r="111" spans="1:26" ht="13.5" hidden="1" customHeight="1">
      <c r="A111" s="175" t="s">
        <v>36</v>
      </c>
      <c r="B111" s="189"/>
      <c r="C111" s="189"/>
      <c r="D111" s="189">
        <f>SUM(D112:D113)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00"/>
      <c r="B112" s="201"/>
      <c r="C112" s="201"/>
      <c r="D112" s="198">
        <f t="shared" ref="D112:D113" si="8">B112*C112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13.5" hidden="1" customHeight="1">
      <c r="A113" s="284"/>
      <c r="B113" s="201"/>
      <c r="C113" s="201"/>
      <c r="D113" s="198">
        <f t="shared" si="8"/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15.75" hidden="1" customHeight="1" thickBot="1">
      <c r="A114" s="285" t="s">
        <v>37</v>
      </c>
      <c r="B114" s="286"/>
      <c r="C114" s="287"/>
      <c r="D114" s="288">
        <f>D92+D98+D106+D108+D111</f>
        <v>24000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ht="13.5" hidden="1" customHeight="1">
      <c r="A115" s="289"/>
      <c r="B115" s="290"/>
      <c r="C115" s="290"/>
      <c r="D115" s="290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</row>
    <row r="116" spans="1:26" ht="21.75" hidden="1" customHeight="1" thickBot="1">
      <c r="A116" s="223" t="s">
        <v>38</v>
      </c>
      <c r="B116" s="291"/>
      <c r="C116" s="291"/>
      <c r="D116" s="291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</row>
    <row r="117" spans="1:26" ht="26.25" hidden="1" customHeight="1">
      <c r="A117" s="293" t="s">
        <v>27</v>
      </c>
      <c r="B117" s="182" t="s">
        <v>39</v>
      </c>
      <c r="C117" s="182" t="s">
        <v>40</v>
      </c>
      <c r="D117" s="207" t="s">
        <v>14</v>
      </c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</row>
    <row r="118" spans="1:26" ht="13.5" hidden="1" customHeight="1">
      <c r="A118" s="294" t="s">
        <v>41</v>
      </c>
      <c r="B118" s="235"/>
      <c r="C118" s="295"/>
      <c r="D118" s="190">
        <f>D119+D122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 t="s">
        <v>42</v>
      </c>
      <c r="B119" s="201"/>
      <c r="C119" s="202"/>
      <c r="D119" s="198">
        <f>SUM(D120:D121)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00"/>
      <c r="B120" s="296"/>
      <c r="C120" s="202"/>
      <c r="D120" s="198">
        <f t="shared" ref="D120:D121" si="9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00"/>
      <c r="B121" s="201"/>
      <c r="C121" s="202"/>
      <c r="D121" s="198">
        <f t="shared" si="9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00" t="s">
        <v>44</v>
      </c>
      <c r="B122" s="201"/>
      <c r="C122" s="202"/>
      <c r="D122" s="198">
        <f>SUM(D123)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00"/>
      <c r="B123" s="296"/>
      <c r="C123" s="202"/>
      <c r="D123" s="198">
        <f t="shared" ref="D123:D125" si="10">B123*C123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94" t="s">
        <v>46</v>
      </c>
      <c r="B124" s="233"/>
      <c r="C124" s="202"/>
      <c r="D124" s="190">
        <f t="shared" si="10"/>
        <v>0</v>
      </c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</row>
    <row r="125" spans="1:26" ht="13.5" hidden="1" customHeight="1">
      <c r="A125" s="294" t="s">
        <v>47</v>
      </c>
      <c r="B125" s="233"/>
      <c r="C125" s="202"/>
      <c r="D125" s="190">
        <f t="shared" si="10"/>
        <v>0</v>
      </c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</row>
    <row r="126" spans="1:26" ht="13.5" hidden="1" customHeight="1">
      <c r="A126" s="294" t="s">
        <v>48</v>
      </c>
      <c r="B126" s="235"/>
      <c r="C126" s="295"/>
      <c r="D126" s="190">
        <v>0</v>
      </c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</row>
    <row r="127" spans="1:26" ht="15.75" hidden="1" customHeight="1" thickBot="1">
      <c r="A127" s="285" t="s">
        <v>25</v>
      </c>
      <c r="B127" s="286"/>
      <c r="C127" s="297"/>
      <c r="D127" s="213">
        <f>D118+D124+D125+D126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98"/>
      <c r="B128" s="299"/>
      <c r="C128" s="300"/>
      <c r="D128" s="27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98"/>
      <c r="B129" s="299"/>
      <c r="C129" s="300"/>
      <c r="D129" s="27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21.75" customHeight="1">
      <c r="A130" s="301" t="s">
        <v>49</v>
      </c>
      <c r="B130" s="302"/>
      <c r="C130" s="303"/>
      <c r="D130" s="302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</row>
    <row r="131" spans="1:26" ht="13.5" customHeight="1" thickBot="1">
      <c r="A131" s="248" t="s">
        <v>50</v>
      </c>
      <c r="B131" s="225"/>
      <c r="C131" s="225"/>
      <c r="D131" s="225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41.25" customHeight="1">
      <c r="A132" s="206" t="s">
        <v>51</v>
      </c>
      <c r="B132" s="182" t="s">
        <v>12</v>
      </c>
      <c r="C132" s="182" t="s">
        <v>52</v>
      </c>
      <c r="D132" s="207" t="s">
        <v>14</v>
      </c>
      <c r="E132" s="208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customHeight="1">
      <c r="A133" s="175" t="s">
        <v>53</v>
      </c>
      <c r="B133" s="189">
        <f>SUM(B134:B144)</f>
        <v>322158.82000000007</v>
      </c>
      <c r="C133" s="209"/>
      <c r="D133" s="190">
        <f>SUM(D134:D144)</f>
        <v>3865905.84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</row>
    <row r="134" spans="1:26" ht="13.5" customHeight="1">
      <c r="A134" s="210" t="s">
        <v>140</v>
      </c>
      <c r="B134" s="201">
        <v>31888.799999999999</v>
      </c>
      <c r="C134" s="201">
        <f t="shared" ref="C134:C153" si="11">$B$7</f>
        <v>12</v>
      </c>
      <c r="D134" s="198">
        <f t="shared" ref="D134:D144" si="12">B134*C134</f>
        <v>382665.6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customHeight="1">
      <c r="A135" s="210" t="s">
        <v>272</v>
      </c>
      <c r="B135" s="201">
        <v>29529.360000000001</v>
      </c>
      <c r="C135" s="201">
        <v>12</v>
      </c>
      <c r="D135" s="198">
        <f t="shared" si="12"/>
        <v>354352.32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customHeight="1">
      <c r="A136" s="200" t="s">
        <v>141</v>
      </c>
      <c r="B136" s="201">
        <v>28128.05</v>
      </c>
      <c r="C136" s="201">
        <f t="shared" si="11"/>
        <v>12</v>
      </c>
      <c r="D136" s="198">
        <f t="shared" si="12"/>
        <v>337536.6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customHeight="1">
      <c r="A137" s="210" t="s">
        <v>142</v>
      </c>
      <c r="B137" s="201">
        <v>26790.5</v>
      </c>
      <c r="C137" s="201">
        <f t="shared" si="11"/>
        <v>12</v>
      </c>
      <c r="D137" s="198">
        <f t="shared" si="12"/>
        <v>321486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customHeight="1">
      <c r="A138" s="210" t="s">
        <v>3</v>
      </c>
      <c r="B138" s="201">
        <v>22722.5</v>
      </c>
      <c r="C138" s="201">
        <v>12</v>
      </c>
      <c r="D138" s="198">
        <f t="shared" si="12"/>
        <v>272670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customHeight="1">
      <c r="A139" s="210" t="s">
        <v>273</v>
      </c>
      <c r="B139" s="201">
        <v>22020.2</v>
      </c>
      <c r="C139" s="201">
        <v>12</v>
      </c>
      <c r="D139" s="198">
        <f t="shared" si="12"/>
        <v>264242.40000000002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customHeight="1">
      <c r="A140" s="200" t="s">
        <v>19</v>
      </c>
      <c r="B140" s="201">
        <v>161079.41</v>
      </c>
      <c r="C140" s="201">
        <f t="shared" si="11"/>
        <v>12</v>
      </c>
      <c r="D140" s="198">
        <f t="shared" si="12"/>
        <v>1932952.92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00"/>
      <c r="B141" s="201"/>
      <c r="C141" s="201">
        <f t="shared" si="11"/>
        <v>12</v>
      </c>
      <c r="D141" s="198">
        <f t="shared" si="12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00"/>
      <c r="B142" s="201"/>
      <c r="C142" s="201">
        <f t="shared" si="11"/>
        <v>12</v>
      </c>
      <c r="D142" s="198">
        <f t="shared" si="12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00"/>
      <c r="B143" s="201"/>
      <c r="C143" s="201">
        <f t="shared" si="11"/>
        <v>12</v>
      </c>
      <c r="D143" s="198">
        <f t="shared" si="12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00"/>
      <c r="B144" s="201"/>
      <c r="C144" s="201">
        <f t="shared" si="11"/>
        <v>12</v>
      </c>
      <c r="D144" s="198">
        <f t="shared" si="12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customHeight="1">
      <c r="A145" s="175" t="s">
        <v>58</v>
      </c>
      <c r="B145" s="211">
        <f>B146+B147+B148+B149</f>
        <v>90258</v>
      </c>
      <c r="C145" s="209"/>
      <c r="D145" s="212">
        <f>SUM(D147:D153)</f>
        <v>888936</v>
      </c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</row>
    <row r="146" spans="1:26" ht="13.5" customHeight="1">
      <c r="A146" s="200" t="s">
        <v>57</v>
      </c>
      <c r="B146" s="201">
        <v>16180</v>
      </c>
      <c r="C146" s="201">
        <f t="shared" si="11"/>
        <v>12</v>
      </c>
      <c r="D146" s="198">
        <f t="shared" ref="D146:D153" si="13">B146*C146</f>
        <v>194160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customHeight="1">
      <c r="A147" s="200" t="s">
        <v>59</v>
      </c>
      <c r="B147" s="201">
        <v>13724.5</v>
      </c>
      <c r="C147" s="201">
        <f t="shared" si="11"/>
        <v>12</v>
      </c>
      <c r="D147" s="198">
        <f t="shared" si="13"/>
        <v>164694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10" t="s">
        <v>136</v>
      </c>
      <c r="B148" s="201">
        <v>15224.5</v>
      </c>
      <c r="C148" s="201">
        <f t="shared" si="11"/>
        <v>12</v>
      </c>
      <c r="D148" s="198">
        <f t="shared" si="13"/>
        <v>182694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00" t="s">
        <v>19</v>
      </c>
      <c r="B149" s="201">
        <v>45129</v>
      </c>
      <c r="C149" s="201">
        <f t="shared" si="11"/>
        <v>12</v>
      </c>
      <c r="D149" s="198">
        <f t="shared" si="13"/>
        <v>541548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00"/>
      <c r="B150" s="201"/>
      <c r="C150" s="201">
        <f t="shared" si="11"/>
        <v>12</v>
      </c>
      <c r="D150" s="198">
        <f t="shared" si="13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00"/>
      <c r="B151" s="201"/>
      <c r="C151" s="201">
        <f t="shared" si="11"/>
        <v>12</v>
      </c>
      <c r="D151" s="198">
        <f t="shared" si="13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00"/>
      <c r="B152" s="201"/>
      <c r="C152" s="201">
        <f t="shared" si="11"/>
        <v>12</v>
      </c>
      <c r="D152" s="198">
        <f t="shared" si="1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customHeight="1">
      <c r="A153" s="200"/>
      <c r="B153" s="201"/>
      <c r="C153" s="201">
        <f t="shared" si="11"/>
        <v>12</v>
      </c>
      <c r="D153" s="198">
        <f t="shared" si="1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23</v>
      </c>
      <c r="B154" s="186">
        <f>B133+B145</f>
        <v>412416.82000000007</v>
      </c>
      <c r="C154" s="186"/>
      <c r="D154" s="187">
        <f>D133+D145</f>
        <v>4754841.84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5.75" customHeight="1">
      <c r="A155" s="173" t="s">
        <v>61</v>
      </c>
      <c r="B155" s="186"/>
      <c r="C155" s="202"/>
      <c r="D155" s="190">
        <f>D154*0.22</f>
        <v>1046065.2047999999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customHeight="1" thickBot="1">
      <c r="A156" s="203" t="s">
        <v>25</v>
      </c>
      <c r="B156" s="204"/>
      <c r="C156" s="204"/>
      <c r="D156" s="213">
        <f>D154+D155</f>
        <v>5800907.0448000003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1.75" customHeight="1" thickBot="1">
      <c r="A157" s="223" t="s">
        <v>62</v>
      </c>
      <c r="B157" s="291"/>
      <c r="C157" s="305"/>
      <c r="D157" s="291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23.25" customHeight="1">
      <c r="A158" s="206" t="s">
        <v>27</v>
      </c>
      <c r="B158" s="182" t="s">
        <v>28</v>
      </c>
      <c r="C158" s="182" t="s">
        <v>40</v>
      </c>
      <c r="D158" s="207" t="s">
        <v>14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5.5" customHeight="1">
      <c r="A159" s="216" t="s">
        <v>63</v>
      </c>
      <c r="B159" s="217"/>
      <c r="C159" s="217"/>
      <c r="D159" s="218">
        <f>SUM(D160:D162)</f>
        <v>0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</row>
    <row r="160" spans="1:26" ht="15.75" customHeight="1">
      <c r="A160" s="210" t="s">
        <v>135</v>
      </c>
      <c r="B160" s="201"/>
      <c r="C160" s="197">
        <v>1</v>
      </c>
      <c r="D160" s="198">
        <f t="shared" ref="D160:D162" si="14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00"/>
      <c r="B161" s="201"/>
      <c r="C161" s="197"/>
      <c r="D161" s="198">
        <f t="shared" si="14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00"/>
      <c r="B162" s="201"/>
      <c r="C162" s="197"/>
      <c r="D162" s="198">
        <f t="shared" si="14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16" t="s">
        <v>64</v>
      </c>
      <c r="B163" s="189"/>
      <c r="C163" s="189"/>
      <c r="D163" s="190">
        <f>SUM(D164:D168)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00"/>
      <c r="B164" s="201"/>
      <c r="C164" s="197"/>
      <c r="D164" s="198">
        <f t="shared" ref="D164:D168" si="15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19"/>
      <c r="B165" s="201"/>
      <c r="C165" s="197"/>
      <c r="D165" s="198">
        <f t="shared" si="15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19"/>
      <c r="B166" s="201"/>
      <c r="C166" s="197"/>
      <c r="D166" s="198">
        <f t="shared" si="15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219"/>
      <c r="B167" s="201"/>
      <c r="C167" s="197"/>
      <c r="D167" s="198">
        <f t="shared" si="15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219"/>
      <c r="B168" s="201"/>
      <c r="C168" s="197"/>
      <c r="D168" s="198">
        <f t="shared" si="15"/>
        <v>0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216" t="s">
        <v>65</v>
      </c>
      <c r="B169" s="189"/>
      <c r="C169" s="189"/>
      <c r="D169" s="189">
        <f>SUM(D170:D171)</f>
        <v>0</v>
      </c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hidden="1" customHeight="1">
      <c r="A170" s="220"/>
      <c r="B170" s="201"/>
      <c r="C170" s="201"/>
      <c r="D170" s="198">
        <f t="shared" ref="D170:D171" si="16">B170*C170</f>
        <v>0</v>
      </c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hidden="1" customHeight="1">
      <c r="A171" s="220"/>
      <c r="B171" s="201"/>
      <c r="C171" s="201"/>
      <c r="D171" s="198">
        <f t="shared" si="16"/>
        <v>0</v>
      </c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178" t="s">
        <v>25</v>
      </c>
      <c r="B172" s="221"/>
      <c r="C172" s="221"/>
      <c r="D172" s="213">
        <f>D159+D163+D169</f>
        <v>0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177"/>
      <c r="B173" s="215"/>
      <c r="C173" s="222"/>
      <c r="D173" s="215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23" t="s">
        <v>66</v>
      </c>
      <c r="B174" s="224"/>
      <c r="C174" s="225"/>
      <c r="D174" s="224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33" customHeight="1">
      <c r="A175" s="206" t="s">
        <v>27</v>
      </c>
      <c r="B175" s="182" t="s">
        <v>28</v>
      </c>
      <c r="C175" s="182" t="s">
        <v>40</v>
      </c>
      <c r="D175" s="207" t="s">
        <v>14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27" t="s">
        <v>67</v>
      </c>
      <c r="B176" s="228"/>
      <c r="C176" s="228"/>
      <c r="D176" s="190">
        <v>0</v>
      </c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27" t="s">
        <v>68</v>
      </c>
      <c r="B177" s="228"/>
      <c r="C177" s="228"/>
      <c r="D177" s="190">
        <f>SUM(D178:D184)</f>
        <v>545000.15999999992</v>
      </c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29" t="s">
        <v>137</v>
      </c>
      <c r="B178" s="230">
        <v>7916.67</v>
      </c>
      <c r="C178" s="231">
        <v>12</v>
      </c>
      <c r="D178" s="198">
        <f>B178*C178</f>
        <v>95000.040000000008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32" t="s">
        <v>70</v>
      </c>
      <c r="B179" s="233">
        <v>4166.67</v>
      </c>
      <c r="C179" s="234">
        <v>12</v>
      </c>
      <c r="D179" s="198">
        <f>B179*C179</f>
        <v>50000.04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32" t="s">
        <v>71</v>
      </c>
      <c r="B180" s="233">
        <v>33333.339999999997</v>
      </c>
      <c r="C180" s="234">
        <f>$B$7</f>
        <v>12</v>
      </c>
      <c r="D180" s="198">
        <f>B180*C180</f>
        <v>400000.07999999996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hidden="1" customHeight="1">
      <c r="A181" s="232"/>
      <c r="B181" s="235"/>
      <c r="C181" s="217"/>
      <c r="D181" s="190">
        <f>SUM(D182:D184)</f>
        <v>0</v>
      </c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hidden="1" customHeight="1">
      <c r="A182" s="232"/>
      <c r="B182" s="233"/>
      <c r="C182" s="236"/>
      <c r="D182" s="198">
        <f t="shared" ref="D182:D184" si="17">B182*C182</f>
        <v>0</v>
      </c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hidden="1" customHeight="1">
      <c r="A183" s="232"/>
      <c r="B183" s="233"/>
      <c r="C183" s="236"/>
      <c r="D183" s="198">
        <f t="shared" si="17"/>
        <v>0</v>
      </c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hidden="1" customHeight="1">
      <c r="A184" s="232"/>
      <c r="B184" s="233"/>
      <c r="C184" s="236"/>
      <c r="D184" s="198">
        <f t="shared" si="17"/>
        <v>0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173" t="s">
        <v>72</v>
      </c>
      <c r="B185" s="217"/>
      <c r="C185" s="217"/>
      <c r="D185" s="190">
        <f>SUM(D186:D188)</f>
        <v>14760</v>
      </c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hidden="1" customHeight="1">
      <c r="A186" s="232"/>
      <c r="B186" s="233"/>
      <c r="C186" s="234"/>
      <c r="D186" s="198">
        <f t="shared" ref="D186:D188" si="18">B186*C186</f>
        <v>0</v>
      </c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32" t="s">
        <v>274</v>
      </c>
      <c r="B187" s="233">
        <v>1230</v>
      </c>
      <c r="C187" s="234">
        <f t="shared" ref="C187" si="19">$B$7</f>
        <v>12</v>
      </c>
      <c r="D187" s="198">
        <f t="shared" si="18"/>
        <v>14760</v>
      </c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hidden="1" customHeight="1">
      <c r="A188" s="232"/>
      <c r="B188" s="233"/>
      <c r="C188" s="236"/>
      <c r="D188" s="198">
        <f t="shared" si="18"/>
        <v>0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hidden="1" customHeight="1">
      <c r="A189" s="227" t="s">
        <v>75</v>
      </c>
      <c r="B189" s="237"/>
      <c r="C189" s="238"/>
      <c r="D189" s="190">
        <f>SUM(D190)</f>
        <v>0</v>
      </c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hidden="1" customHeight="1">
      <c r="A190" s="232"/>
      <c r="B190" s="239"/>
      <c r="C190" s="240"/>
      <c r="D190" s="198">
        <f>B190*C190</f>
        <v>0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hidden="1" customHeight="1">
      <c r="A191" s="173" t="s">
        <v>77</v>
      </c>
      <c r="B191" s="237"/>
      <c r="C191" s="237"/>
      <c r="D191" s="186">
        <f>SUM(D192:D193)</f>
        <v>0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hidden="1" customHeight="1">
      <c r="A192" s="241"/>
      <c r="B192" s="237"/>
      <c r="C192" s="238"/>
      <c r="D192" s="198">
        <f t="shared" ref="D192:D193" si="20">B192*C192</f>
        <v>0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hidden="1" customHeight="1">
      <c r="A193" s="173"/>
      <c r="B193" s="236"/>
      <c r="C193" s="236"/>
      <c r="D193" s="198">
        <f t="shared" si="20"/>
        <v>0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3" t="s">
        <v>79</v>
      </c>
      <c r="B194" s="186"/>
      <c r="C194" s="242"/>
      <c r="D194" s="190">
        <f>SUM(D195:D198)</f>
        <v>39000</v>
      </c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41" t="s">
        <v>1</v>
      </c>
      <c r="B195" s="237">
        <v>3250</v>
      </c>
      <c r="C195" s="238">
        <f>$B$7</f>
        <v>12</v>
      </c>
      <c r="D195" s="198">
        <f t="shared" ref="D195:D198" si="21">B195*C195</f>
        <v>39000</v>
      </c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4.75" hidden="1" customHeight="1">
      <c r="A196" s="232"/>
      <c r="B196" s="239"/>
      <c r="C196" s="240"/>
      <c r="D196" s="198">
        <f t="shared" si="21"/>
        <v>0</v>
      </c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hidden="1" customHeight="1">
      <c r="A197" s="232"/>
      <c r="B197" s="239"/>
      <c r="C197" s="240"/>
      <c r="D197" s="198">
        <f t="shared" si="21"/>
        <v>0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hidden="1" customHeight="1">
      <c r="A198" s="232"/>
      <c r="B198" s="239"/>
      <c r="C198" s="240"/>
      <c r="D198" s="198">
        <f t="shared" si="21"/>
        <v>0</v>
      </c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173" t="s">
        <v>80</v>
      </c>
      <c r="B199" s="186"/>
      <c r="C199" s="242"/>
      <c r="D199" s="190">
        <f>SUM(D200:D201)</f>
        <v>67848.72</v>
      </c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43" t="s">
        <v>138</v>
      </c>
      <c r="B200" s="201">
        <v>5654.06</v>
      </c>
      <c r="C200" s="238">
        <f>$B$7</f>
        <v>12</v>
      </c>
      <c r="D200" s="198">
        <f t="shared" ref="D200:D201" si="22">B200*C200</f>
        <v>67848.72</v>
      </c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hidden="1" customHeight="1">
      <c r="A201" s="241"/>
      <c r="B201" s="237"/>
      <c r="C201" s="238"/>
      <c r="D201" s="198">
        <f t="shared" si="22"/>
        <v>0</v>
      </c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hidden="1" customHeight="1">
      <c r="A202" s="173" t="s">
        <v>82</v>
      </c>
      <c r="B202" s="186"/>
      <c r="C202" s="242"/>
      <c r="D202" s="190">
        <f>SUM(D203)</f>
        <v>0</v>
      </c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hidden="1" customHeight="1">
      <c r="A203" s="241" t="s">
        <v>83</v>
      </c>
      <c r="B203" s="237"/>
      <c r="C203" s="238"/>
      <c r="D203" s="198">
        <f>B203*C203</f>
        <v>0</v>
      </c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hidden="1" customHeight="1">
      <c r="A204" s="241"/>
      <c r="B204" s="237"/>
      <c r="C204" s="238"/>
      <c r="D204" s="198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hidden="1" customHeight="1">
      <c r="A205" s="173" t="s">
        <v>84</v>
      </c>
      <c r="B205" s="186"/>
      <c r="C205" s="242"/>
      <c r="D205" s="190">
        <f>SUM(D206:D207)</f>
        <v>0</v>
      </c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hidden="1" customHeight="1">
      <c r="A206" s="241" t="s">
        <v>85</v>
      </c>
      <c r="B206" s="237"/>
      <c r="C206" s="238"/>
      <c r="D206" s="198">
        <f t="shared" ref="D206:D207" si="23">B206*C206</f>
        <v>0</v>
      </c>
      <c r="E206" s="177"/>
      <c r="F206" s="177"/>
      <c r="G206" s="177">
        <f>8048.2+50299+9501.58</f>
        <v>67848.78</v>
      </c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hidden="1" customHeight="1">
      <c r="A207" s="241"/>
      <c r="B207" s="237"/>
      <c r="C207" s="238"/>
      <c r="D207" s="198">
        <f t="shared" si="23"/>
        <v>0</v>
      </c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hidden="1" customHeight="1">
      <c r="A208" s="173" t="s">
        <v>48</v>
      </c>
      <c r="B208" s="186"/>
      <c r="C208" s="242"/>
      <c r="D208" s="190">
        <f>SUM(D209:D211)</f>
        <v>0</v>
      </c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hidden="1" customHeight="1">
      <c r="A209" s="241" t="s">
        <v>2</v>
      </c>
      <c r="B209" s="237"/>
      <c r="C209" s="238"/>
      <c r="D209" s="198">
        <f t="shared" ref="D209:D211" si="24">B209*C209</f>
        <v>0</v>
      </c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hidden="1" customHeight="1">
      <c r="A210" s="241"/>
      <c r="B210" s="237"/>
      <c r="C210" s="238"/>
      <c r="D210" s="198">
        <f t="shared" si="24"/>
        <v>0</v>
      </c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hidden="1" customHeight="1">
      <c r="A211" s="241"/>
      <c r="B211" s="237"/>
      <c r="C211" s="238"/>
      <c r="D211" s="198">
        <f t="shared" si="24"/>
        <v>0</v>
      </c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5.75" customHeight="1" thickBot="1">
      <c r="A212" s="203" t="s">
        <v>25</v>
      </c>
      <c r="B212" s="204"/>
      <c r="C212" s="244"/>
      <c r="D212" s="213">
        <f>D176+D181+D177+D185+D189+D191+D194+D199+D202+D205+D208</f>
        <v>666608.87999999989</v>
      </c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177"/>
      <c r="B213" s="222"/>
      <c r="C213" s="222"/>
      <c r="D213" s="222"/>
      <c r="E213" s="222"/>
      <c r="F213" s="222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177"/>
      <c r="B214" s="222"/>
      <c r="C214" s="222"/>
      <c r="D214" s="222"/>
      <c r="E214" s="222"/>
      <c r="F214" s="222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 customHeight="1">
      <c r="A215" s="248" t="s">
        <v>86</v>
      </c>
      <c r="B215" s="226"/>
      <c r="C215" s="226"/>
      <c r="D215" s="226"/>
      <c r="E215" s="249"/>
      <c r="F215" s="225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21.75" customHeight="1" thickBot="1">
      <c r="A216" s="248" t="s">
        <v>87</v>
      </c>
      <c r="B216" s="226"/>
      <c r="C216" s="226"/>
      <c r="D216" s="226"/>
      <c r="E216" s="249"/>
      <c r="F216" s="225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5.75" customHeight="1">
      <c r="A217" s="168" t="s">
        <v>88</v>
      </c>
      <c r="B217" s="245" t="s">
        <v>89</v>
      </c>
      <c r="C217" s="177"/>
      <c r="D217" s="177"/>
      <c r="F217" s="222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41" t="s">
        <v>90</v>
      </c>
      <c r="B218" s="246">
        <f>D88</f>
        <v>246892.62</v>
      </c>
      <c r="C218" s="177"/>
      <c r="D218" s="177"/>
      <c r="F218" s="222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41" t="s">
        <v>91</v>
      </c>
      <c r="B219" s="246">
        <v>11516072.68</v>
      </c>
      <c r="C219" s="177"/>
      <c r="D219" s="177"/>
      <c r="F219" s="222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5.75" customHeight="1" thickBot="1">
      <c r="A220" s="203" t="s">
        <v>92</v>
      </c>
      <c r="B220" s="205">
        <f>B218/B219</f>
        <v>2.1438959865960137E-2</v>
      </c>
      <c r="C220" s="177"/>
      <c r="D220" s="177"/>
      <c r="F220" s="222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47"/>
      <c r="B221" s="177"/>
      <c r="C221" s="177"/>
      <c r="D221" s="177"/>
      <c r="F221" s="222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 customHeight="1" thickBot="1">
      <c r="A222" s="248" t="s">
        <v>93</v>
      </c>
      <c r="B222" s="226"/>
      <c r="C222" s="226"/>
      <c r="D222" s="226"/>
      <c r="E222" s="249"/>
      <c r="F222" s="225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46.5" customHeight="1">
      <c r="A223" s="181" t="s">
        <v>88</v>
      </c>
      <c r="B223" s="182" t="s">
        <v>14</v>
      </c>
      <c r="C223" s="182" t="s">
        <v>94</v>
      </c>
      <c r="D223" s="250" t="s">
        <v>95</v>
      </c>
      <c r="E223" s="251" t="s">
        <v>96</v>
      </c>
      <c r="F223" s="252" t="s">
        <v>96</v>
      </c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</row>
    <row r="224" spans="1:26" ht="13.5" customHeight="1">
      <c r="A224" s="173" t="s">
        <v>97</v>
      </c>
      <c r="B224" s="186"/>
      <c r="C224" s="242"/>
      <c r="D224" s="254"/>
      <c r="E224" s="255"/>
      <c r="F224" s="256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41" t="s">
        <v>98</v>
      </c>
      <c r="B225" s="233">
        <f>D88</f>
        <v>246892.62</v>
      </c>
      <c r="C225" s="257" t="s">
        <v>99</v>
      </c>
      <c r="D225" s="258">
        <f t="shared" ref="D225:D227" si="25">B225</f>
        <v>246892.62</v>
      </c>
      <c r="E225" s="259">
        <f>D225/B4/B5</f>
        <v>118.24359195402299</v>
      </c>
      <c r="F225" s="260">
        <f t="shared" ref="F225:F227" si="26">E225</f>
        <v>118.24359195402299</v>
      </c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41" t="s">
        <v>100</v>
      </c>
      <c r="B226" s="233">
        <f>D114</f>
        <v>24000</v>
      </c>
      <c r="C226" s="257" t="s">
        <v>99</v>
      </c>
      <c r="D226" s="258">
        <f t="shared" si="25"/>
        <v>24000</v>
      </c>
      <c r="E226" s="259">
        <f>B226/B4/B5</f>
        <v>11.494252873563218</v>
      </c>
      <c r="F226" s="260">
        <f t="shared" si="26"/>
        <v>11.494252873563218</v>
      </c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41" t="s">
        <v>101</v>
      </c>
      <c r="B227" s="233">
        <f>D127</f>
        <v>0</v>
      </c>
      <c r="C227" s="257" t="s">
        <v>99</v>
      </c>
      <c r="D227" s="258">
        <f t="shared" si="25"/>
        <v>0</v>
      </c>
      <c r="E227" s="259">
        <f>B227/B4/B5</f>
        <v>0</v>
      </c>
      <c r="F227" s="260">
        <f t="shared" si="26"/>
        <v>0</v>
      </c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61" t="s">
        <v>102</v>
      </c>
      <c r="B228" s="186">
        <f>SUM(B225:B227)</f>
        <v>270892.62</v>
      </c>
      <c r="C228" s="186"/>
      <c r="D228" s="262">
        <f t="shared" ref="D228:F228" si="27">SUM(D225:D227)</f>
        <v>270892.62</v>
      </c>
      <c r="E228" s="263">
        <f t="shared" si="27"/>
        <v>129.7378448275862</v>
      </c>
      <c r="F228" s="187">
        <f t="shared" si="27"/>
        <v>129.7378448275862</v>
      </c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173" t="s">
        <v>103</v>
      </c>
      <c r="B229" s="186"/>
      <c r="C229" s="242"/>
      <c r="D229" s="254"/>
      <c r="E229" s="255"/>
      <c r="F229" s="264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41" t="s">
        <v>98</v>
      </c>
      <c r="B230" s="237">
        <f>D155</f>
        <v>1046065.2047999999</v>
      </c>
      <c r="C230" s="237">
        <f t="shared" ref="C230:C232" si="28">$B$220</f>
        <v>2.1438959865960137E-2</v>
      </c>
      <c r="D230" s="258">
        <f t="shared" ref="D230:D232" si="29">B230*C230</f>
        <v>22426.549942884572</v>
      </c>
      <c r="E230" s="259">
        <f>D230/B4/B5</f>
        <v>10.740684838546251</v>
      </c>
      <c r="F230" s="260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41" t="s">
        <v>100</v>
      </c>
      <c r="B231" s="237">
        <f>D172</f>
        <v>0</v>
      </c>
      <c r="C231" s="237">
        <f t="shared" si="28"/>
        <v>2.1438959865960137E-2</v>
      </c>
      <c r="D231" s="258">
        <f>B231*C231</f>
        <v>0</v>
      </c>
      <c r="E231" s="259">
        <f>D231/B4/B5</f>
        <v>0</v>
      </c>
      <c r="F231" s="260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41" t="s">
        <v>104</v>
      </c>
      <c r="B232" s="237">
        <f>D212</f>
        <v>666608.87999999989</v>
      </c>
      <c r="C232" s="237">
        <f t="shared" si="28"/>
        <v>2.1438959865960137E-2</v>
      </c>
      <c r="D232" s="258">
        <f t="shared" si="29"/>
        <v>14291.401024612635</v>
      </c>
      <c r="E232" s="259">
        <f>D232/B4/B5</f>
        <v>6.8445407205999205</v>
      </c>
      <c r="F232" s="260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61" t="s">
        <v>105</v>
      </c>
      <c r="B233" s="186">
        <f>SUM(B230:B232)</f>
        <v>1712674.0847999998</v>
      </c>
      <c r="C233" s="186"/>
      <c r="D233" s="262">
        <f t="shared" ref="D233:E233" si="30">SUM(D230:D232)</f>
        <v>36717.950967497207</v>
      </c>
      <c r="E233" s="263">
        <f t="shared" si="30"/>
        <v>17.585225559146171</v>
      </c>
      <c r="F233" s="187">
        <f>F225*15%</f>
        <v>17.736538793103449</v>
      </c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5.75" customHeight="1" thickBot="1">
      <c r="A234" s="265" t="s">
        <v>106</v>
      </c>
      <c r="B234" s="204"/>
      <c r="C234" s="204"/>
      <c r="D234" s="266"/>
      <c r="E234" s="267">
        <f t="shared" ref="E234:F234" si="31">E228+E233</f>
        <v>147.32307038673238</v>
      </c>
      <c r="F234" s="205">
        <f t="shared" si="31"/>
        <v>147.47438362068965</v>
      </c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47"/>
      <c r="B235" s="177"/>
      <c r="C235" s="177"/>
      <c r="D235" s="177"/>
      <c r="F235" s="222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68"/>
      <c r="B236" s="269"/>
      <c r="C236" s="222"/>
      <c r="D236" s="177"/>
      <c r="E236" s="270"/>
      <c r="F236" s="270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 thickBot="1">
      <c r="A237" s="223" t="s">
        <v>107</v>
      </c>
      <c r="B237" s="248"/>
      <c r="C237" s="248"/>
      <c r="D237" s="248"/>
      <c r="E237" s="248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5.5" customHeight="1">
      <c r="A238" s="181" t="s">
        <v>108</v>
      </c>
      <c r="B238" s="182" t="s">
        <v>109</v>
      </c>
      <c r="C238" s="182" t="s">
        <v>110</v>
      </c>
      <c r="D238" s="182" t="s">
        <v>111</v>
      </c>
      <c r="E238" s="183" t="s">
        <v>14</v>
      </c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4.75" customHeight="1">
      <c r="A239" s="173" t="s">
        <v>112</v>
      </c>
      <c r="B239" s="186">
        <f>MIN(E234,F234)</f>
        <v>147.32307038673238</v>
      </c>
      <c r="C239" s="271">
        <f>262*8</f>
        <v>2096</v>
      </c>
      <c r="D239" s="271">
        <v>1</v>
      </c>
      <c r="E239" s="187">
        <f>B239*C239*D239</f>
        <v>308789.15553059109</v>
      </c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177"/>
      <c r="B241" s="177"/>
      <c r="C241" s="177"/>
      <c r="D241" s="177"/>
      <c r="E241" s="199"/>
      <c r="F241" s="272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177"/>
      <c r="B242" s="177"/>
      <c r="C242" s="177"/>
      <c r="D242" s="177"/>
      <c r="E242" s="222"/>
      <c r="F242" s="272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3.5" customHeight="1">
      <c r="A1001" s="214"/>
      <c r="B1001" s="222"/>
      <c r="C1001" s="222"/>
      <c r="D1001" s="222"/>
      <c r="E1001" s="222"/>
      <c r="F1001" s="222"/>
      <c r="G1001" s="222"/>
      <c r="H1001" s="177"/>
      <c r="I1001" s="177"/>
      <c r="J1001" s="177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13.5" customHeight="1">
      <c r="A1002" s="214"/>
      <c r="B1002" s="222"/>
      <c r="C1002" s="222"/>
      <c r="D1002" s="222"/>
      <c r="E1002" s="222"/>
      <c r="F1002" s="222"/>
      <c r="G1002" s="222"/>
      <c r="H1002" s="177"/>
      <c r="I1002" s="177"/>
      <c r="J1002" s="177"/>
      <c r="K1002" s="177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13.5" customHeight="1">
      <c r="A1003" s="214"/>
      <c r="B1003" s="222"/>
      <c r="C1003" s="222"/>
      <c r="D1003" s="222"/>
      <c r="E1003" s="222"/>
      <c r="F1003" s="222"/>
      <c r="G1003" s="222"/>
      <c r="H1003" s="177"/>
      <c r="I1003" s="177"/>
      <c r="J1003" s="177"/>
      <c r="K1003" s="177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13.5" customHeight="1">
      <c r="A1004" s="214"/>
      <c r="B1004" s="222"/>
      <c r="C1004" s="222"/>
      <c r="D1004" s="222"/>
      <c r="E1004" s="222"/>
      <c r="F1004" s="222"/>
      <c r="G1004" s="222"/>
      <c r="H1004" s="177"/>
      <c r="I1004" s="177"/>
      <c r="J1004" s="177"/>
      <c r="K1004" s="177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13.5" customHeight="1">
      <c r="A1005" s="214"/>
      <c r="B1005" s="222"/>
      <c r="C1005" s="222"/>
      <c r="D1005" s="222"/>
      <c r="E1005" s="222"/>
      <c r="F1005" s="222"/>
      <c r="G1005" s="222"/>
      <c r="H1005" s="177"/>
      <c r="I1005" s="177"/>
      <c r="J1005" s="177"/>
      <c r="K1005" s="177"/>
      <c r="L1005" s="177"/>
      <c r="M1005" s="177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13.5" customHeight="1">
      <c r="A1006" s="214"/>
      <c r="B1006" s="222"/>
      <c r="C1006" s="222"/>
      <c r="D1006" s="222"/>
      <c r="E1006" s="222"/>
      <c r="F1006" s="222"/>
      <c r="G1006" s="222"/>
      <c r="H1006" s="177"/>
      <c r="I1006" s="177"/>
      <c r="J1006" s="177"/>
      <c r="K1006" s="177"/>
      <c r="L1006" s="177"/>
      <c r="M1006" s="177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13.5" customHeight="1">
      <c r="A1007" s="214"/>
      <c r="B1007" s="222"/>
      <c r="C1007" s="222"/>
      <c r="D1007" s="222"/>
      <c r="E1007" s="222"/>
      <c r="F1007" s="222"/>
      <c r="G1007" s="222"/>
      <c r="H1007" s="177"/>
      <c r="I1007" s="177"/>
      <c r="J1007" s="177"/>
      <c r="K1007" s="177"/>
      <c r="L1007" s="177"/>
      <c r="M1007" s="177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13.5" customHeight="1">
      <c r="A1008" s="214"/>
      <c r="B1008" s="222"/>
      <c r="C1008" s="222"/>
      <c r="D1008" s="222"/>
      <c r="E1008" s="222"/>
      <c r="F1008" s="222"/>
      <c r="G1008" s="222"/>
      <c r="H1008" s="177"/>
      <c r="I1008" s="177"/>
      <c r="J1008" s="177"/>
      <c r="K1008" s="177"/>
      <c r="L1008" s="177"/>
      <c r="M1008" s="177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13.5" customHeight="1">
      <c r="A1009" s="214"/>
      <c r="B1009" s="222"/>
      <c r="C1009" s="222"/>
      <c r="D1009" s="222"/>
      <c r="E1009" s="222"/>
      <c r="F1009" s="222"/>
      <c r="G1009" s="222"/>
      <c r="H1009" s="177"/>
      <c r="I1009" s="177"/>
      <c r="J1009" s="177"/>
      <c r="K1009" s="177"/>
      <c r="L1009" s="177"/>
      <c r="M1009" s="177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13.5" customHeight="1">
      <c r="A1010" s="214"/>
      <c r="B1010" s="222"/>
      <c r="C1010" s="222"/>
      <c r="D1010" s="222"/>
      <c r="E1010" s="222"/>
      <c r="F1010" s="222"/>
      <c r="G1010" s="222"/>
      <c r="H1010" s="177"/>
      <c r="I1010" s="177"/>
      <c r="J1010" s="177"/>
      <c r="K1010" s="177"/>
      <c r="L1010" s="177"/>
      <c r="M1010" s="177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13.5" customHeight="1">
      <c r="A1011" s="214"/>
      <c r="B1011" s="222"/>
      <c r="C1011" s="222"/>
      <c r="D1011" s="222"/>
      <c r="E1011" s="222"/>
      <c r="F1011" s="222"/>
      <c r="G1011" s="222"/>
      <c r="H1011" s="177"/>
      <c r="I1011" s="177"/>
      <c r="J1011" s="177"/>
      <c r="K1011" s="177"/>
      <c r="L1011" s="177"/>
      <c r="M1011" s="177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13.5" customHeight="1">
      <c r="A1012" s="214"/>
      <c r="B1012" s="222"/>
      <c r="C1012" s="222"/>
      <c r="D1012" s="222"/>
      <c r="E1012" s="222"/>
      <c r="F1012" s="222"/>
      <c r="G1012" s="222"/>
      <c r="H1012" s="177"/>
      <c r="I1012" s="177"/>
      <c r="J1012" s="177"/>
      <c r="K1012" s="177"/>
      <c r="L1012" s="177"/>
      <c r="M1012" s="177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13.5" customHeight="1">
      <c r="A1013" s="214"/>
      <c r="B1013" s="222"/>
      <c r="C1013" s="222"/>
      <c r="D1013" s="222"/>
      <c r="E1013" s="222"/>
      <c r="F1013" s="222"/>
      <c r="G1013" s="222"/>
      <c r="H1013" s="177"/>
      <c r="I1013" s="177"/>
      <c r="J1013" s="177"/>
      <c r="K1013" s="177"/>
      <c r="L1013" s="177"/>
      <c r="M1013" s="177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13.5" customHeight="1">
      <c r="A1014" s="214"/>
      <c r="B1014" s="222"/>
      <c r="C1014" s="222"/>
      <c r="D1014" s="222"/>
      <c r="E1014" s="222"/>
      <c r="F1014" s="222"/>
      <c r="G1014" s="222"/>
      <c r="H1014" s="177"/>
      <c r="I1014" s="177"/>
      <c r="J1014" s="177"/>
      <c r="K1014" s="177"/>
      <c r="L1014" s="177"/>
      <c r="M1014" s="177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13.5" customHeight="1">
      <c r="A1015" s="214"/>
      <c r="B1015" s="222"/>
      <c r="C1015" s="222"/>
      <c r="D1015" s="222"/>
      <c r="E1015" s="222"/>
      <c r="F1015" s="222"/>
      <c r="G1015" s="222"/>
      <c r="H1015" s="177"/>
      <c r="I1015" s="177"/>
      <c r="J1015" s="177"/>
      <c r="K1015" s="177"/>
      <c r="L1015" s="177"/>
      <c r="M1015" s="177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13.5" customHeight="1">
      <c r="A1016" s="214"/>
      <c r="B1016" s="222"/>
      <c r="C1016" s="222"/>
      <c r="D1016" s="222"/>
      <c r="E1016" s="222"/>
      <c r="F1016" s="222"/>
      <c r="G1016" s="222"/>
      <c r="H1016" s="177"/>
      <c r="I1016" s="177"/>
      <c r="J1016" s="177"/>
      <c r="K1016" s="177"/>
      <c r="L1016" s="177"/>
      <c r="M1016" s="177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13.5" customHeight="1">
      <c r="A1017" s="214"/>
      <c r="B1017" s="222"/>
      <c r="C1017" s="222"/>
      <c r="D1017" s="222"/>
      <c r="E1017" s="222"/>
      <c r="F1017" s="222"/>
      <c r="G1017" s="222"/>
      <c r="H1017" s="177"/>
      <c r="I1017" s="177"/>
      <c r="J1017" s="177"/>
      <c r="K1017" s="177"/>
      <c r="L1017" s="177"/>
      <c r="M1017" s="177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13.5" customHeight="1">
      <c r="A1018" s="214"/>
      <c r="B1018" s="222"/>
      <c r="C1018" s="222"/>
      <c r="D1018" s="222"/>
      <c r="E1018" s="222"/>
      <c r="F1018" s="222"/>
      <c r="G1018" s="222"/>
      <c r="H1018" s="177"/>
      <c r="I1018" s="177"/>
      <c r="J1018" s="177"/>
      <c r="K1018" s="177"/>
      <c r="L1018" s="177"/>
      <c r="M1018" s="177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13.5" customHeight="1">
      <c r="A1019" s="214"/>
      <c r="B1019" s="222"/>
      <c r="C1019" s="222"/>
      <c r="D1019" s="222"/>
      <c r="E1019" s="222"/>
      <c r="F1019" s="222"/>
      <c r="G1019" s="222"/>
      <c r="H1019" s="177"/>
      <c r="I1019" s="177"/>
      <c r="J1019" s="177"/>
      <c r="K1019" s="177"/>
      <c r="L1019" s="177"/>
      <c r="M1019" s="177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13.5" customHeight="1">
      <c r="A1020" s="214"/>
      <c r="B1020" s="222"/>
      <c r="C1020" s="222"/>
      <c r="D1020" s="222"/>
      <c r="E1020" s="222"/>
      <c r="F1020" s="222"/>
      <c r="G1020" s="222"/>
      <c r="H1020" s="177"/>
      <c r="I1020" s="177"/>
      <c r="J1020" s="177"/>
      <c r="K1020" s="177"/>
      <c r="L1020" s="177"/>
      <c r="M1020" s="177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13.5" customHeight="1">
      <c r="A1021" s="214"/>
      <c r="B1021" s="222"/>
      <c r="C1021" s="222"/>
      <c r="D1021" s="222"/>
      <c r="E1021" s="222"/>
      <c r="F1021" s="222"/>
      <c r="G1021" s="222"/>
      <c r="H1021" s="177"/>
      <c r="I1021" s="177"/>
      <c r="J1021" s="177"/>
      <c r="K1021" s="177"/>
      <c r="L1021" s="177"/>
      <c r="M1021" s="177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13.5" customHeight="1">
      <c r="A1022" s="214"/>
      <c r="B1022" s="222"/>
      <c r="C1022" s="222"/>
      <c r="D1022" s="222"/>
      <c r="E1022" s="222"/>
      <c r="F1022" s="222"/>
      <c r="G1022" s="222"/>
      <c r="H1022" s="177"/>
      <c r="I1022" s="177"/>
      <c r="J1022" s="177"/>
      <c r="K1022" s="177"/>
      <c r="L1022" s="177"/>
      <c r="M1022" s="177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13.5" customHeight="1">
      <c r="A1023" s="214"/>
      <c r="B1023" s="222"/>
      <c r="C1023" s="222"/>
      <c r="D1023" s="222"/>
      <c r="E1023" s="222"/>
      <c r="F1023" s="222"/>
      <c r="G1023" s="222"/>
      <c r="H1023" s="177"/>
      <c r="I1023" s="177"/>
      <c r="J1023" s="177"/>
      <c r="K1023" s="177"/>
      <c r="L1023" s="177"/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13.5" customHeight="1">
      <c r="A1024" s="214"/>
      <c r="B1024" s="222"/>
      <c r="C1024" s="222"/>
      <c r="D1024" s="222"/>
      <c r="E1024" s="222"/>
      <c r="F1024" s="222"/>
      <c r="G1024" s="222"/>
      <c r="H1024" s="177"/>
      <c r="I1024" s="177"/>
      <c r="J1024" s="177"/>
      <c r="K1024" s="177"/>
      <c r="L1024" s="177"/>
      <c r="M1024" s="177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13.5" customHeight="1">
      <c r="A1025" s="214"/>
      <c r="B1025" s="222"/>
      <c r="C1025" s="222"/>
      <c r="D1025" s="222"/>
      <c r="E1025" s="222"/>
      <c r="F1025" s="222"/>
      <c r="G1025" s="222"/>
      <c r="H1025" s="177"/>
      <c r="I1025" s="177"/>
      <c r="J1025" s="177"/>
      <c r="K1025" s="177"/>
      <c r="L1025" s="177"/>
      <c r="M1025" s="177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13.5" customHeight="1">
      <c r="A1026" s="214"/>
      <c r="B1026" s="222"/>
      <c r="C1026" s="222"/>
      <c r="D1026" s="222"/>
      <c r="E1026" s="222"/>
      <c r="F1026" s="222"/>
      <c r="G1026" s="222"/>
      <c r="H1026" s="177"/>
      <c r="I1026" s="177"/>
      <c r="J1026" s="177"/>
      <c r="K1026" s="177"/>
      <c r="L1026" s="177"/>
      <c r="M1026" s="177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13.5" customHeight="1">
      <c r="A1027" s="214"/>
      <c r="B1027" s="222"/>
      <c r="C1027" s="222"/>
      <c r="D1027" s="222"/>
      <c r="E1027" s="222"/>
      <c r="F1027" s="222"/>
      <c r="G1027" s="222"/>
      <c r="H1027" s="177"/>
      <c r="I1027" s="177"/>
      <c r="J1027" s="177"/>
      <c r="K1027" s="177"/>
      <c r="L1027" s="177"/>
      <c r="M1027" s="177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13.5" customHeight="1">
      <c r="A1028" s="214"/>
      <c r="B1028" s="222"/>
      <c r="C1028" s="222"/>
      <c r="D1028" s="222"/>
      <c r="E1028" s="222"/>
      <c r="F1028" s="222"/>
      <c r="G1028" s="222"/>
      <c r="H1028" s="177"/>
      <c r="I1028" s="177"/>
      <c r="J1028" s="177"/>
      <c r="K1028" s="177"/>
      <c r="L1028" s="177"/>
      <c r="M1028" s="177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13.5" customHeight="1">
      <c r="A1029" s="214"/>
      <c r="B1029" s="222"/>
      <c r="C1029" s="222"/>
      <c r="D1029" s="222"/>
      <c r="E1029" s="222"/>
      <c r="F1029" s="222"/>
      <c r="G1029" s="222"/>
      <c r="H1029" s="177"/>
      <c r="I1029" s="177"/>
      <c r="J1029" s="177"/>
      <c r="K1029" s="177"/>
      <c r="L1029" s="177"/>
      <c r="M1029" s="177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13.5" customHeight="1">
      <c r="A1030" s="214"/>
      <c r="B1030" s="222"/>
      <c r="C1030" s="222"/>
      <c r="D1030" s="222"/>
      <c r="E1030" s="222"/>
      <c r="F1030" s="222"/>
      <c r="G1030" s="222"/>
      <c r="H1030" s="177"/>
      <c r="I1030" s="177"/>
      <c r="J1030" s="177"/>
      <c r="K1030" s="177"/>
      <c r="L1030" s="177"/>
      <c r="M1030" s="177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13.5" customHeight="1">
      <c r="A1031" s="214"/>
      <c r="B1031" s="222"/>
      <c r="C1031" s="222"/>
      <c r="D1031" s="222"/>
      <c r="E1031" s="222"/>
      <c r="F1031" s="222"/>
      <c r="G1031" s="222"/>
      <c r="H1031" s="177"/>
      <c r="I1031" s="177"/>
      <c r="J1031" s="177"/>
      <c r="K1031" s="177"/>
      <c r="L1031" s="177"/>
      <c r="M1031" s="177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13.5" customHeight="1">
      <c r="A1032" s="214"/>
      <c r="B1032" s="222"/>
      <c r="C1032" s="222"/>
      <c r="D1032" s="222"/>
      <c r="E1032" s="222"/>
      <c r="F1032" s="222"/>
      <c r="G1032" s="222"/>
      <c r="H1032" s="177"/>
      <c r="I1032" s="177"/>
      <c r="J1032" s="177"/>
      <c r="K1032" s="177"/>
      <c r="L1032" s="177"/>
      <c r="M1032" s="177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13.5" customHeight="1">
      <c r="A1033" s="214"/>
      <c r="B1033" s="222"/>
      <c r="C1033" s="222"/>
      <c r="D1033" s="222"/>
      <c r="E1033" s="222"/>
      <c r="F1033" s="222"/>
      <c r="G1033" s="222"/>
      <c r="H1033" s="177"/>
      <c r="I1033" s="177"/>
      <c r="J1033" s="177"/>
      <c r="K1033" s="177"/>
      <c r="L1033" s="177"/>
      <c r="M1033" s="177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13.5" customHeight="1">
      <c r="A1034" s="214"/>
      <c r="B1034" s="222"/>
      <c r="C1034" s="222"/>
      <c r="D1034" s="222"/>
      <c r="E1034" s="222"/>
      <c r="F1034" s="222"/>
      <c r="G1034" s="222"/>
      <c r="H1034" s="177"/>
      <c r="I1034" s="177"/>
      <c r="J1034" s="177"/>
      <c r="K1034" s="177"/>
      <c r="L1034" s="177"/>
      <c r="M1034" s="177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13.5" customHeight="1">
      <c r="A1035" s="214"/>
      <c r="B1035" s="222"/>
      <c r="C1035" s="222"/>
      <c r="D1035" s="222"/>
      <c r="E1035" s="222"/>
      <c r="F1035" s="222"/>
      <c r="G1035" s="222"/>
      <c r="H1035" s="177"/>
      <c r="I1035" s="177"/>
      <c r="J1035" s="177"/>
      <c r="K1035" s="177"/>
      <c r="L1035" s="177"/>
      <c r="M1035" s="177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13.5" customHeight="1">
      <c r="A1036" s="214"/>
      <c r="B1036" s="222"/>
      <c r="C1036" s="222"/>
      <c r="D1036" s="222"/>
      <c r="E1036" s="222"/>
      <c r="F1036" s="222"/>
      <c r="G1036" s="222"/>
      <c r="H1036" s="177"/>
      <c r="I1036" s="177"/>
      <c r="J1036" s="177"/>
      <c r="K1036" s="177"/>
      <c r="L1036" s="177"/>
      <c r="M1036" s="177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13.5" customHeight="1">
      <c r="A1037" s="214"/>
      <c r="B1037" s="222"/>
      <c r="C1037" s="222"/>
      <c r="D1037" s="222"/>
      <c r="E1037" s="222"/>
      <c r="F1037" s="222"/>
      <c r="G1037" s="222"/>
      <c r="H1037" s="177"/>
      <c r="I1037" s="177"/>
      <c r="J1037" s="177"/>
      <c r="K1037" s="177"/>
      <c r="L1037" s="177"/>
      <c r="M1037" s="177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13.5" customHeight="1">
      <c r="A1038" s="214"/>
      <c r="B1038" s="222"/>
      <c r="C1038" s="222"/>
      <c r="D1038" s="222"/>
      <c r="E1038" s="222"/>
      <c r="F1038" s="222"/>
      <c r="G1038" s="222"/>
      <c r="H1038" s="177"/>
      <c r="I1038" s="177"/>
      <c r="J1038" s="177"/>
      <c r="K1038" s="177"/>
      <c r="L1038" s="177"/>
      <c r="M1038" s="177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13.5" customHeight="1">
      <c r="A1039" s="214"/>
      <c r="B1039" s="222"/>
      <c r="C1039" s="222"/>
      <c r="D1039" s="222"/>
      <c r="E1039" s="222"/>
      <c r="F1039" s="222"/>
      <c r="G1039" s="222"/>
      <c r="H1039" s="177"/>
      <c r="I1039" s="177"/>
      <c r="J1039" s="177"/>
      <c r="K1039" s="177"/>
      <c r="L1039" s="177"/>
      <c r="M1039" s="177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13.5" customHeight="1">
      <c r="A1040" s="214"/>
      <c r="B1040" s="222"/>
      <c r="C1040" s="222"/>
      <c r="D1040" s="222"/>
      <c r="E1040" s="222"/>
      <c r="F1040" s="222"/>
      <c r="G1040" s="222"/>
      <c r="H1040" s="177"/>
      <c r="I1040" s="177"/>
      <c r="J1040" s="177"/>
      <c r="K1040" s="177"/>
      <c r="L1040" s="177"/>
      <c r="M1040" s="177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13.5" customHeight="1">
      <c r="A1041" s="214"/>
      <c r="B1041" s="222"/>
      <c r="C1041" s="222"/>
      <c r="D1041" s="222"/>
      <c r="E1041" s="222"/>
      <c r="F1041" s="222"/>
      <c r="G1041" s="222"/>
      <c r="H1041" s="177"/>
      <c r="I1041" s="177"/>
      <c r="J1041" s="177"/>
      <c r="K1041" s="177"/>
      <c r="L1041" s="177"/>
      <c r="M1041" s="177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13.5" customHeight="1">
      <c r="A1042" s="214"/>
      <c r="B1042" s="222"/>
      <c r="C1042" s="222"/>
      <c r="D1042" s="222"/>
      <c r="E1042" s="222"/>
      <c r="F1042" s="222"/>
      <c r="G1042" s="222"/>
      <c r="H1042" s="177"/>
      <c r="I1042" s="177"/>
      <c r="J1042" s="177"/>
      <c r="K1042" s="177"/>
      <c r="L1042" s="177"/>
      <c r="M1042" s="177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13.5" customHeight="1">
      <c r="A1043" s="214"/>
      <c r="B1043" s="222"/>
      <c r="C1043" s="222"/>
      <c r="D1043" s="222"/>
      <c r="E1043" s="222"/>
      <c r="F1043" s="222"/>
      <c r="G1043" s="222"/>
      <c r="H1043" s="177"/>
      <c r="I1043" s="177"/>
      <c r="J1043" s="177"/>
      <c r="K1043" s="177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13.5" customHeight="1">
      <c r="A1044" s="214"/>
      <c r="B1044" s="222"/>
      <c r="C1044" s="222"/>
      <c r="D1044" s="222"/>
      <c r="E1044" s="222"/>
      <c r="F1044" s="222"/>
      <c r="G1044" s="222"/>
      <c r="H1044" s="177"/>
      <c r="I1044" s="177"/>
      <c r="J1044" s="177"/>
      <c r="K1044" s="177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13.5" customHeight="1">
      <c r="A1045" s="214"/>
      <c r="B1045" s="222"/>
      <c r="C1045" s="222"/>
      <c r="D1045" s="222"/>
      <c r="E1045" s="222"/>
      <c r="F1045" s="222"/>
      <c r="G1045" s="222"/>
      <c r="H1045" s="177"/>
      <c r="I1045" s="177"/>
      <c r="J1045" s="177"/>
      <c r="K1045" s="177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</sheetData>
  <hyperlinks>
    <hyperlink ref="E223" location="Google_Sheet_Link_278249023" display="Вартість на людино-годину, грн. [2]"/>
    <hyperlink ref="F223" location="Google_Sheet_Link_1070266638" display="Вартість на людино-годину, грн. [2]"/>
  </hyperlinks>
  <pageMargins left="0.6692913385826772" right="0.47244094488188981" top="0.39000000000000007" bottom="0.39000000000000007" header="0" footer="0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A3" sqref="A3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146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283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22070.400000000001</v>
      </c>
      <c r="C12" s="186"/>
      <c r="D12" s="187">
        <f>D13+D34</f>
        <v>286915.20000000007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22070.400000000001</v>
      </c>
      <c r="C13" s="189"/>
      <c r="D13" s="190">
        <f>D14+D19+D26</f>
        <v>286915.20000000007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22070.400000000001</v>
      </c>
      <c r="C14" s="192"/>
      <c r="D14" s="193">
        <f>SUM(D15:D18)</f>
        <v>286915.20000000007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79" t="s">
        <v>282</v>
      </c>
      <c r="B15" s="201">
        <v>22070.400000000001</v>
      </c>
      <c r="C15" s="197">
        <v>12</v>
      </c>
      <c r="D15" s="198">
        <f t="shared" ref="D15:D16" si="0">B15*C15</f>
        <v>264844.80000000005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143</v>
      </c>
      <c r="B16" s="201">
        <v>22070.400000000001</v>
      </c>
      <c r="C16" s="202">
        <v>1</v>
      </c>
      <c r="D16" s="198">
        <f t="shared" si="0"/>
        <v>22070.400000000001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22070.400000000001</v>
      </c>
      <c r="C38" s="186"/>
      <c r="D38" s="187">
        <f>D13+D34</f>
        <v>286915.20000000007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63121.344000000019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22070.400000000001</v>
      </c>
      <c r="C40" s="204"/>
      <c r="D40" s="205">
        <f>SUM(D38:D39)</f>
        <v>350036.54400000011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8" hidden="1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SUM(D45:D49)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49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175" t="s">
        <v>33</v>
      </c>
      <c r="B50" s="281"/>
      <c r="C50" s="282"/>
      <c r="D50" s="212">
        <f>SUM(D51:D57)</f>
        <v>0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</row>
    <row r="51" spans="1:26" ht="13.5" hidden="1" customHeight="1">
      <c r="A51" s="200"/>
      <c r="B51" s="201"/>
      <c r="C51" s="197"/>
      <c r="D51" s="198">
        <f t="shared" ref="D51:D57" si="6">B51*C51</f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200"/>
      <c r="B52" s="201"/>
      <c r="C52" s="197"/>
      <c r="D52" s="198">
        <f t="shared" si="6"/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175" t="s">
        <v>34</v>
      </c>
      <c r="B58" s="189"/>
      <c r="C58" s="189"/>
      <c r="D58" s="190">
        <f>D59</f>
        <v>0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spans="1:26" ht="13.5" hidden="1" customHeight="1">
      <c r="A59" s="200"/>
      <c r="B59" s="201"/>
      <c r="C59" s="283"/>
      <c r="D59" s="198">
        <f>B59*C59</f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35</v>
      </c>
      <c r="B60" s="189"/>
      <c r="C60" s="189"/>
      <c r="D60" s="189">
        <f>SUM(D61:D62)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01"/>
      <c r="D61" s="198">
        <f t="shared" ref="D61:D62" si="7">B61*C61</f>
        <v>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hidden="1" customHeight="1">
      <c r="A62" s="175"/>
      <c r="B62" s="201"/>
      <c r="C62" s="201"/>
      <c r="D62" s="198">
        <f t="shared" si="7"/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 t="s">
        <v>36</v>
      </c>
      <c r="B63" s="189"/>
      <c r="C63" s="189"/>
      <c r="D63" s="189">
        <f>SUM(D64:D65)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200"/>
      <c r="B64" s="201"/>
      <c r="C64" s="201"/>
      <c r="D64" s="198">
        <f t="shared" ref="D64:D65" si="8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84"/>
      <c r="B65" s="201"/>
      <c r="C65" s="201"/>
      <c r="D65" s="198">
        <f t="shared" si="8"/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5.75" hidden="1" customHeight="1" thickBot="1">
      <c r="A66" s="285" t="s">
        <v>37</v>
      </c>
      <c r="B66" s="286"/>
      <c r="C66" s="287"/>
      <c r="D66" s="288">
        <f>D44+D50+D58+D60+D63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9"/>
      <c r="B67" s="290"/>
      <c r="C67" s="290"/>
      <c r="D67" s="290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21.75" hidden="1" customHeight="1" thickBot="1">
      <c r="A68" s="223" t="s">
        <v>38</v>
      </c>
      <c r="B68" s="291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</row>
    <row r="69" spans="1:26" ht="26.25" hidden="1" customHeight="1">
      <c r="A69" s="293" t="s">
        <v>27</v>
      </c>
      <c r="B69" s="182" t="s">
        <v>39</v>
      </c>
      <c r="C69" s="182" t="s">
        <v>40</v>
      </c>
      <c r="D69" s="207" t="s">
        <v>14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13.5" hidden="1" customHeight="1">
      <c r="A70" s="294" t="s">
        <v>41</v>
      </c>
      <c r="B70" s="235"/>
      <c r="C70" s="295"/>
      <c r="D70" s="190">
        <f>D71+D74</f>
        <v>0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200" t="s">
        <v>42</v>
      </c>
      <c r="B71" s="201"/>
      <c r="C71" s="202"/>
      <c r="D71" s="198">
        <f>SUM(D72:D73)</f>
        <v>0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200"/>
      <c r="B72" s="296"/>
      <c r="C72" s="202"/>
      <c r="D72" s="198">
        <f t="shared" ref="D72:D73" si="9">B72*C72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/>
      <c r="B73" s="201"/>
      <c r="C73" s="202"/>
      <c r="D73" s="198">
        <f t="shared" si="9"/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 t="s">
        <v>44</v>
      </c>
      <c r="B74" s="201"/>
      <c r="C74" s="202"/>
      <c r="D74" s="198">
        <f>SUM(D75)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96"/>
      <c r="C75" s="202"/>
      <c r="D75" s="198">
        <f t="shared" ref="D75:D77" si="10">B75*C75</f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94" t="s">
        <v>46</v>
      </c>
      <c r="B76" s="233"/>
      <c r="C76" s="202"/>
      <c r="D76" s="190">
        <f t="shared" si="10"/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spans="1:26" ht="13.5" hidden="1" customHeight="1">
      <c r="A77" s="294" t="s">
        <v>47</v>
      </c>
      <c r="B77" s="233"/>
      <c r="C77" s="202"/>
      <c r="D77" s="190">
        <f t="shared" si="10"/>
        <v>0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spans="1:26" ht="13.5" hidden="1" customHeight="1">
      <c r="A78" s="294" t="s">
        <v>48</v>
      </c>
      <c r="B78" s="235"/>
      <c r="C78" s="295"/>
      <c r="D78" s="190"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5.75" hidden="1" customHeight="1" thickBot="1">
      <c r="A79" s="285" t="s">
        <v>25</v>
      </c>
      <c r="B79" s="286"/>
      <c r="C79" s="297"/>
      <c r="D79" s="213">
        <f>D70+D76+D77+D78</f>
        <v>0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298"/>
      <c r="B80" s="299"/>
      <c r="C80" s="300"/>
      <c r="D80" s="275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298"/>
      <c r="B81" s="299"/>
      <c r="C81" s="300"/>
      <c r="D81" s="275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1.75" customHeight="1">
      <c r="A82" s="301" t="s">
        <v>49</v>
      </c>
      <c r="B82" s="302"/>
      <c r="C82" s="303"/>
      <c r="D82" s="302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</row>
    <row r="83" spans="1:26" ht="13.5" customHeight="1" thickBot="1">
      <c r="A83" s="248" t="s">
        <v>50</v>
      </c>
      <c r="B83" s="225"/>
      <c r="C83" s="225"/>
      <c r="D83" s="225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41.25" customHeight="1">
      <c r="A84" s="206" t="s">
        <v>51</v>
      </c>
      <c r="B84" s="182" t="s">
        <v>12</v>
      </c>
      <c r="C84" s="182" t="s">
        <v>52</v>
      </c>
      <c r="D84" s="207" t="s">
        <v>14</v>
      </c>
      <c r="E84" s="208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customHeight="1">
      <c r="A85" s="175" t="s">
        <v>53</v>
      </c>
      <c r="B85" s="189">
        <f>SUM(B86:B96)</f>
        <v>322158.82000000007</v>
      </c>
      <c r="C85" s="209"/>
      <c r="D85" s="190">
        <f>SUM(D86:D96)</f>
        <v>3865905.84</v>
      </c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spans="1:26" ht="13.5" customHeight="1">
      <c r="A86" s="210" t="s">
        <v>140</v>
      </c>
      <c r="B86" s="201">
        <v>31888.799999999999</v>
      </c>
      <c r="C86" s="201">
        <f t="shared" ref="C86:C105" si="11">$B$7</f>
        <v>12</v>
      </c>
      <c r="D86" s="198">
        <f t="shared" ref="D86:D96" si="12">B86*C86</f>
        <v>382665.6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210" t="s">
        <v>272</v>
      </c>
      <c r="B87" s="201">
        <v>29529.360000000001</v>
      </c>
      <c r="C87" s="201">
        <v>12</v>
      </c>
      <c r="D87" s="198">
        <f t="shared" si="12"/>
        <v>354352.32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00" t="s">
        <v>141</v>
      </c>
      <c r="B88" s="201">
        <v>28128.05</v>
      </c>
      <c r="C88" s="201">
        <f t="shared" si="11"/>
        <v>12</v>
      </c>
      <c r="D88" s="198">
        <f t="shared" si="12"/>
        <v>337536.6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142</v>
      </c>
      <c r="B89" s="201">
        <v>26790.5</v>
      </c>
      <c r="C89" s="201">
        <f t="shared" si="11"/>
        <v>12</v>
      </c>
      <c r="D89" s="198">
        <f t="shared" si="12"/>
        <v>321486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3</v>
      </c>
      <c r="B90" s="201">
        <v>22722.5</v>
      </c>
      <c r="C90" s="201">
        <v>12</v>
      </c>
      <c r="D90" s="198">
        <f t="shared" si="12"/>
        <v>272670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273</v>
      </c>
      <c r="B91" s="201">
        <v>22020.2</v>
      </c>
      <c r="C91" s="201">
        <v>12</v>
      </c>
      <c r="D91" s="198">
        <f t="shared" si="12"/>
        <v>264242.40000000002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00" t="s">
        <v>19</v>
      </c>
      <c r="B92" s="201">
        <v>161079.41</v>
      </c>
      <c r="C92" s="201">
        <f t="shared" si="11"/>
        <v>12</v>
      </c>
      <c r="D92" s="198">
        <f t="shared" si="12"/>
        <v>1932952.92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hidden="1" customHeight="1">
      <c r="A93" s="200"/>
      <c r="B93" s="201"/>
      <c r="C93" s="201">
        <f t="shared" si="11"/>
        <v>12</v>
      </c>
      <c r="D93" s="198">
        <f t="shared" si="12"/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175" t="s">
        <v>58</v>
      </c>
      <c r="B97" s="211">
        <f>B98+B99+B100+B101</f>
        <v>90258</v>
      </c>
      <c r="C97" s="209"/>
      <c r="D97" s="212">
        <f>SUM(D99:D105)</f>
        <v>888936</v>
      </c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</row>
    <row r="98" spans="1:26" ht="13.5" customHeight="1">
      <c r="A98" s="200" t="s">
        <v>57</v>
      </c>
      <c r="B98" s="201">
        <v>16180</v>
      </c>
      <c r="C98" s="201">
        <f t="shared" si="11"/>
        <v>12</v>
      </c>
      <c r="D98" s="198">
        <f t="shared" ref="D98:D105" si="13">B98*C98</f>
        <v>194160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200" t="s">
        <v>59</v>
      </c>
      <c r="B99" s="201">
        <v>13724.5</v>
      </c>
      <c r="C99" s="201">
        <f t="shared" si="11"/>
        <v>12</v>
      </c>
      <c r="D99" s="198">
        <f t="shared" si="13"/>
        <v>164694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10" t="s">
        <v>136</v>
      </c>
      <c r="B100" s="201">
        <v>15224.5</v>
      </c>
      <c r="C100" s="201">
        <f t="shared" si="11"/>
        <v>12</v>
      </c>
      <c r="D100" s="198">
        <f t="shared" si="13"/>
        <v>182694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 t="s">
        <v>19</v>
      </c>
      <c r="B101" s="201">
        <v>45129</v>
      </c>
      <c r="C101" s="201">
        <f t="shared" si="11"/>
        <v>12</v>
      </c>
      <c r="D101" s="198">
        <f t="shared" si="13"/>
        <v>541548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201">
        <f t="shared" si="11"/>
        <v>12</v>
      </c>
      <c r="D102" s="198">
        <f t="shared" si="13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173" t="s">
        <v>23</v>
      </c>
      <c r="B106" s="186">
        <f>B85+B97</f>
        <v>412416.82000000007</v>
      </c>
      <c r="C106" s="186"/>
      <c r="D106" s="187">
        <f>D85+D97</f>
        <v>4754841.84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5.75" customHeight="1">
      <c r="A107" s="173" t="s">
        <v>61</v>
      </c>
      <c r="B107" s="186"/>
      <c r="C107" s="202"/>
      <c r="D107" s="190">
        <f>D106*0.22</f>
        <v>1046065.2047999999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 thickBot="1">
      <c r="A108" s="203" t="s">
        <v>25</v>
      </c>
      <c r="B108" s="204"/>
      <c r="C108" s="204"/>
      <c r="D108" s="213">
        <f>D106+D107</f>
        <v>5800907.0448000003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 hidden="1" customHeight="1" thickBot="1">
      <c r="A109" s="223" t="s">
        <v>62</v>
      </c>
      <c r="B109" s="291"/>
      <c r="C109" s="305"/>
      <c r="D109" s="291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3.5" hidden="1" customHeight="1">
      <c r="A110" s="206" t="s">
        <v>27</v>
      </c>
      <c r="B110" s="182" t="s">
        <v>28</v>
      </c>
      <c r="C110" s="182" t="s">
        <v>40</v>
      </c>
      <c r="D110" s="207" t="s">
        <v>14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5.5" hidden="1" customHeight="1">
      <c r="A111" s="216" t="s">
        <v>63</v>
      </c>
      <c r="B111" s="217"/>
      <c r="C111" s="217"/>
      <c r="D111" s="218">
        <f>SUM(D112:D114)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10"/>
      <c r="B112" s="201"/>
      <c r="C112" s="197"/>
      <c r="D112" s="198">
        <f t="shared" ref="D112:D114" si="14">B112*C112</f>
        <v>0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3.5" hidden="1" customHeight="1">
      <c r="A113" s="200"/>
      <c r="B113" s="201"/>
      <c r="C113" s="197"/>
      <c r="D113" s="198">
        <f t="shared" si="14"/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0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6" t="s">
        <v>64</v>
      </c>
      <c r="B115" s="189"/>
      <c r="C115" s="189"/>
      <c r="D115" s="190">
        <f>SUM(D116:D120)</f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ref="D116:D120" si="15">B116*C116</f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9"/>
      <c r="B117" s="201"/>
      <c r="C117" s="197"/>
      <c r="D117" s="198">
        <f t="shared" si="15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9"/>
      <c r="B118" s="201"/>
      <c r="C118" s="197"/>
      <c r="D118" s="198">
        <f t="shared" si="15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6" t="s">
        <v>65</v>
      </c>
      <c r="B121" s="189"/>
      <c r="C121" s="189"/>
      <c r="D121" s="189">
        <f>SUM(D122:D123)</f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20"/>
      <c r="B122" s="201"/>
      <c r="C122" s="201"/>
      <c r="D122" s="198">
        <f t="shared" ref="D122:D123" si="16">B122*C122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20"/>
      <c r="B123" s="201"/>
      <c r="C123" s="201"/>
      <c r="D123" s="198">
        <f t="shared" si="16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5.75" hidden="1" customHeight="1" thickBot="1">
      <c r="A124" s="178" t="s">
        <v>25</v>
      </c>
      <c r="B124" s="221"/>
      <c r="C124" s="221"/>
      <c r="D124" s="213">
        <f>D111+D115+D121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177"/>
      <c r="B125" s="215"/>
      <c r="C125" s="222"/>
      <c r="D125" s="215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21.75" hidden="1" customHeight="1" thickBot="1">
      <c r="A126" s="223" t="s">
        <v>66</v>
      </c>
      <c r="B126" s="224"/>
      <c r="C126" s="225"/>
      <c r="D126" s="224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3.5" hidden="1" customHeight="1">
      <c r="A127" s="206" t="s">
        <v>27</v>
      </c>
      <c r="B127" s="182" t="s">
        <v>28</v>
      </c>
      <c r="C127" s="182" t="s">
        <v>40</v>
      </c>
      <c r="D127" s="207" t="s">
        <v>14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27" t="s">
        <v>67</v>
      </c>
      <c r="B128" s="228"/>
      <c r="C128" s="228"/>
      <c r="D128" s="190">
        <v>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27" t="s">
        <v>68</v>
      </c>
      <c r="B129" s="228"/>
      <c r="C129" s="228"/>
      <c r="D129" s="190">
        <f>SUM(D130:D136)</f>
        <v>0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9"/>
      <c r="B130" s="230"/>
      <c r="C130" s="231"/>
      <c r="D130" s="198">
        <f>B130*C130</f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32"/>
      <c r="B131" s="233"/>
      <c r="C131" s="234"/>
      <c r="D131" s="198">
        <f>B131*C131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32"/>
      <c r="B132" s="233"/>
      <c r="C132" s="234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5"/>
      <c r="C133" s="217"/>
      <c r="D133" s="190">
        <f>SUM(D134:D136)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6"/>
      <c r="D134" s="198">
        <f t="shared" ref="D134:D136" si="17"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6"/>
      <c r="D135" s="198">
        <f t="shared" si="17"/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si="17"/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173" t="s">
        <v>72</v>
      </c>
      <c r="B137" s="217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4"/>
      <c r="D138" s="198">
        <f t="shared" ref="D138:D140" si="18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4"/>
      <c r="D139" s="198">
        <f t="shared" si="18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6"/>
      <c r="D140" s="198">
        <f t="shared" si="18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27" t="s">
        <v>75</v>
      </c>
      <c r="B141" s="237"/>
      <c r="C141" s="238"/>
      <c r="D141" s="190">
        <f>SUM(D142)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9"/>
      <c r="C142" s="240"/>
      <c r="D142" s="198">
        <f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173" t="s">
        <v>77</v>
      </c>
      <c r="B143" s="237"/>
      <c r="C143" s="237"/>
      <c r="D143" s="186">
        <f>SUM(D144:D145)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41"/>
      <c r="B144" s="237"/>
      <c r="C144" s="238"/>
      <c r="D144" s="198">
        <f t="shared" ref="D144:D145" si="19"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/>
      <c r="B145" s="236"/>
      <c r="C145" s="236"/>
      <c r="D145" s="198">
        <f t="shared" si="19"/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79</v>
      </c>
      <c r="B146" s="186"/>
      <c r="C146" s="242"/>
      <c r="D146" s="190">
        <f>SUM(D147:D150)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 t="s">
        <v>1</v>
      </c>
      <c r="B147" s="237"/>
      <c r="C147" s="238"/>
      <c r="D147" s="198">
        <f t="shared" ref="D147:D150" si="20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32"/>
      <c r="B148" s="239"/>
      <c r="C148" s="240"/>
      <c r="D148" s="198">
        <f t="shared" si="20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32"/>
      <c r="B149" s="239"/>
      <c r="C149" s="240"/>
      <c r="D149" s="198">
        <f t="shared" si="20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173" t="s">
        <v>80</v>
      </c>
      <c r="B151" s="186"/>
      <c r="C151" s="242"/>
      <c r="D151" s="190">
        <f>SUM(D152:D153)</f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43" t="s">
        <v>138</v>
      </c>
      <c r="B152" s="201"/>
      <c r="C152" s="238"/>
      <c r="D152" s="198">
        <f t="shared" ref="D152:D153" si="21">B152*C152</f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41"/>
      <c r="B153" s="237"/>
      <c r="C153" s="238"/>
      <c r="D153" s="198">
        <f t="shared" si="21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82</v>
      </c>
      <c r="B154" s="186"/>
      <c r="C154" s="242"/>
      <c r="D154" s="190">
        <f>SUM(D155)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 t="s">
        <v>83</v>
      </c>
      <c r="B155" s="237"/>
      <c r="C155" s="238"/>
      <c r="D155" s="198">
        <f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84</v>
      </c>
      <c r="B157" s="186"/>
      <c r="C157" s="242"/>
      <c r="D157" s="190">
        <f>SUM(D158:D159)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85</v>
      </c>
      <c r="B158" s="237"/>
      <c r="C158" s="238"/>
      <c r="D158" s="198">
        <f t="shared" ref="D158:D159" si="22">B158*C158</f>
        <v>0</v>
      </c>
      <c r="E158" s="177"/>
      <c r="F158" s="177"/>
      <c r="G158" s="177">
        <f>8048.2+50299+9501.58</f>
        <v>67848.78</v>
      </c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>
        <f t="shared" si="22"/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48</v>
      </c>
      <c r="B160" s="186"/>
      <c r="C160" s="242"/>
      <c r="D160" s="190">
        <f>SUM(D161:D163)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2</v>
      </c>
      <c r="B161" s="237"/>
      <c r="C161" s="238"/>
      <c r="D161" s="198">
        <f t="shared" ref="D161:D163" si="23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3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/>
      <c r="B163" s="237"/>
      <c r="C163" s="238"/>
      <c r="D163" s="198">
        <f t="shared" si="23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hidden="1" customHeight="1" thickBot="1">
      <c r="A164" s="203" t="s">
        <v>25</v>
      </c>
      <c r="B164" s="204"/>
      <c r="C164" s="244"/>
      <c r="D164" s="213">
        <f>D128+D133+D129+D137+D141+D143+D146+D151+D154+D157+D160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177"/>
      <c r="B165" s="222"/>
      <c r="C165" s="222"/>
      <c r="D165" s="222"/>
      <c r="E165" s="222"/>
      <c r="F165" s="222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177"/>
      <c r="B166" s="222"/>
      <c r="C166" s="222"/>
      <c r="D166" s="222"/>
      <c r="E166" s="222"/>
      <c r="F166" s="222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 customHeight="1">
      <c r="A167" s="248" t="s">
        <v>86</v>
      </c>
      <c r="B167" s="226"/>
      <c r="C167" s="226"/>
      <c r="D167" s="226"/>
      <c r="E167" s="249"/>
      <c r="F167" s="225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21.75" customHeight="1" thickBot="1">
      <c r="A168" s="248" t="s">
        <v>87</v>
      </c>
      <c r="B168" s="226"/>
      <c r="C168" s="226"/>
      <c r="D168" s="226"/>
      <c r="E168" s="249"/>
      <c r="F168" s="225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5.75" customHeight="1">
      <c r="A169" s="168" t="s">
        <v>88</v>
      </c>
      <c r="B169" s="245" t="s">
        <v>89</v>
      </c>
      <c r="C169" s="177"/>
      <c r="D169" s="177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241" t="s">
        <v>90</v>
      </c>
      <c r="B170" s="246">
        <f>D40</f>
        <v>350036.54400000011</v>
      </c>
      <c r="C170" s="177"/>
      <c r="D170" s="177"/>
      <c r="F170" s="222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customHeight="1">
      <c r="A171" s="241" t="s">
        <v>91</v>
      </c>
      <c r="B171" s="246">
        <v>11516072.68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203" t="s">
        <v>92</v>
      </c>
      <c r="B172" s="205">
        <f>B170/B171</f>
        <v>3.0395478886470532E-2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7"/>
      <c r="B173" s="177"/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48" t="s">
        <v>93</v>
      </c>
      <c r="B174" s="226"/>
      <c r="C174" s="226"/>
      <c r="D174" s="226"/>
      <c r="E174" s="249"/>
      <c r="F174" s="225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46.5" customHeight="1">
      <c r="A175" s="181" t="s">
        <v>88</v>
      </c>
      <c r="B175" s="182" t="s">
        <v>14</v>
      </c>
      <c r="C175" s="182" t="s">
        <v>94</v>
      </c>
      <c r="D175" s="250" t="s">
        <v>95</v>
      </c>
      <c r="E175" s="251" t="s">
        <v>96</v>
      </c>
      <c r="F175" s="252" t="s">
        <v>96</v>
      </c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</row>
    <row r="176" spans="1:26" ht="13.5" customHeight="1">
      <c r="A176" s="173" t="s">
        <v>97</v>
      </c>
      <c r="B176" s="186"/>
      <c r="C176" s="242"/>
      <c r="D176" s="254"/>
      <c r="E176" s="255"/>
      <c r="F176" s="256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41" t="s">
        <v>98</v>
      </c>
      <c r="B177" s="233">
        <f>D40</f>
        <v>350036.54400000011</v>
      </c>
      <c r="C177" s="257" t="s">
        <v>99</v>
      </c>
      <c r="D177" s="258">
        <f t="shared" ref="D177:D179" si="24">B177</f>
        <v>350036.54400000011</v>
      </c>
      <c r="E177" s="259">
        <f>D177/B4/B5</f>
        <v>167.6420229885058</v>
      </c>
      <c r="F177" s="260">
        <f t="shared" ref="F177:F179" si="25">E177</f>
        <v>167.6420229885058</v>
      </c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41" t="s">
        <v>100</v>
      </c>
      <c r="B178" s="233">
        <f>D66</f>
        <v>0</v>
      </c>
      <c r="C178" s="257" t="s">
        <v>99</v>
      </c>
      <c r="D178" s="258">
        <f t="shared" si="24"/>
        <v>0</v>
      </c>
      <c r="E178" s="259">
        <f>B178/B4/B5</f>
        <v>0</v>
      </c>
      <c r="F178" s="260">
        <f t="shared" si="25"/>
        <v>0</v>
      </c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101</v>
      </c>
      <c r="B179" s="233">
        <f>D79</f>
        <v>0</v>
      </c>
      <c r="C179" s="257" t="s">
        <v>99</v>
      </c>
      <c r="D179" s="258">
        <f t="shared" si="24"/>
        <v>0</v>
      </c>
      <c r="E179" s="259">
        <f>B179/B4/B5</f>
        <v>0</v>
      </c>
      <c r="F179" s="260">
        <f t="shared" si="25"/>
        <v>0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61" t="s">
        <v>102</v>
      </c>
      <c r="B180" s="186">
        <f>SUM(B177:B179)</f>
        <v>350036.54400000011</v>
      </c>
      <c r="C180" s="186"/>
      <c r="D180" s="262">
        <f t="shared" ref="D180:F180" si="26">SUM(D177:D179)</f>
        <v>350036.54400000011</v>
      </c>
      <c r="E180" s="263">
        <f t="shared" si="26"/>
        <v>167.6420229885058</v>
      </c>
      <c r="F180" s="187">
        <f t="shared" si="26"/>
        <v>167.6420229885058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173" t="s">
        <v>103</v>
      </c>
      <c r="B181" s="186"/>
      <c r="C181" s="242"/>
      <c r="D181" s="254"/>
      <c r="E181" s="255"/>
      <c r="F181" s="264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98</v>
      </c>
      <c r="B182" s="237">
        <f>D107</f>
        <v>1046065.2047999999</v>
      </c>
      <c r="C182" s="237">
        <f t="shared" ref="C182:C184" si="27">$B$172</f>
        <v>3.0395478886470532E-2</v>
      </c>
      <c r="D182" s="258">
        <f t="shared" ref="D182:D184" si="28">B182*C182</f>
        <v>31795.652846369871</v>
      </c>
      <c r="E182" s="259">
        <f>D182/B4/B5</f>
        <v>15.227803087341892</v>
      </c>
      <c r="F182" s="260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41" t="s">
        <v>100</v>
      </c>
      <c r="B183" s="237">
        <f>D124</f>
        <v>0</v>
      </c>
      <c r="C183" s="237">
        <f t="shared" si="27"/>
        <v>3.0395478886470532E-2</v>
      </c>
      <c r="D183" s="258">
        <f t="shared" si="28"/>
        <v>0</v>
      </c>
      <c r="E183" s="259">
        <f>D183/B4/B5</f>
        <v>0</v>
      </c>
      <c r="F183" s="260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104</v>
      </c>
      <c r="B184" s="237">
        <f>D164</f>
        <v>0</v>
      </c>
      <c r="C184" s="237">
        <f t="shared" si="27"/>
        <v>3.0395478886470532E-2</v>
      </c>
      <c r="D184" s="258">
        <f t="shared" si="28"/>
        <v>0</v>
      </c>
      <c r="E184" s="259">
        <f>D184/B4/B5</f>
        <v>0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61" t="s">
        <v>105</v>
      </c>
      <c r="B185" s="186">
        <f>SUM(B182:B184)</f>
        <v>1046065.2047999999</v>
      </c>
      <c r="C185" s="186"/>
      <c r="D185" s="262">
        <f t="shared" ref="D185:E185" si="29">SUM(D182:D184)</f>
        <v>31795.652846369871</v>
      </c>
      <c r="E185" s="263">
        <f t="shared" si="29"/>
        <v>15.227803087341892</v>
      </c>
      <c r="F185" s="187">
        <f>F177*15%</f>
        <v>25.146303448275869</v>
      </c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 thickBot="1">
      <c r="A186" s="265" t="s">
        <v>106</v>
      </c>
      <c r="B186" s="204"/>
      <c r="C186" s="204"/>
      <c r="D186" s="266"/>
      <c r="E186" s="267">
        <f t="shared" ref="E186:F186" si="30">E180+E185</f>
        <v>182.8698260758477</v>
      </c>
      <c r="F186" s="205">
        <f t="shared" si="30"/>
        <v>192.78832643678166</v>
      </c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7"/>
      <c r="B187" s="177"/>
      <c r="C187" s="177"/>
      <c r="D187" s="177"/>
      <c r="F187" s="222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8"/>
      <c r="B188" s="269"/>
      <c r="C188" s="222"/>
      <c r="D188" s="177"/>
      <c r="E188" s="270"/>
      <c r="F188" s="27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 thickBot="1">
      <c r="A189" s="223" t="s">
        <v>107</v>
      </c>
      <c r="B189" s="248"/>
      <c r="C189" s="248"/>
      <c r="D189" s="248"/>
      <c r="E189" s="248"/>
      <c r="F189" s="222"/>
      <c r="G189" s="222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5.5" customHeight="1">
      <c r="A190" s="181" t="s">
        <v>108</v>
      </c>
      <c r="B190" s="182" t="s">
        <v>109</v>
      </c>
      <c r="C190" s="182" t="s">
        <v>110</v>
      </c>
      <c r="D190" s="182" t="s">
        <v>111</v>
      </c>
      <c r="E190" s="183" t="s">
        <v>14</v>
      </c>
      <c r="F190" s="222"/>
      <c r="G190" s="222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4.75" customHeight="1">
      <c r="A191" s="173" t="s">
        <v>112</v>
      </c>
      <c r="B191" s="186">
        <f>MIN(E186,F186)</f>
        <v>182.8698260758477</v>
      </c>
      <c r="C191" s="271">
        <f>262*8</f>
        <v>2096</v>
      </c>
      <c r="D191" s="271">
        <v>1</v>
      </c>
      <c r="E191" s="187">
        <f>B191*C191*D191</f>
        <v>383295.15545497678</v>
      </c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>
      <c r="A192" s="214"/>
      <c r="B192" s="222"/>
      <c r="C192" s="222"/>
      <c r="D192" s="222"/>
      <c r="E192" s="222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customHeight="1">
      <c r="A193" s="177"/>
      <c r="B193" s="177"/>
      <c r="C193" s="177"/>
      <c r="D193" s="177"/>
      <c r="E193" s="199"/>
      <c r="F193" s="272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7"/>
      <c r="B194" s="177"/>
      <c r="C194" s="177"/>
      <c r="D194" s="177"/>
      <c r="E194" s="222"/>
      <c r="F194" s="272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5" customHeight="1"/>
    <row r="999" spans="1:26" ht="15" customHeight="1"/>
    <row r="1000" spans="1:26" ht="15" customHeight="1"/>
  </sheetData>
  <hyperlinks>
    <hyperlink ref="E175" location="Google_Sheet_Link_278249023" display="Вартість на людино-годину, грн. [2]"/>
    <hyperlink ref="F175" location="Google_Sheet_Link_1070266638" display="Вартість на людино-годину, грн. [2]"/>
  </hyperlink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workbookViewId="0">
      <selection activeCell="B5" sqref="B5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148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6527.5</v>
      </c>
      <c r="C12" s="186"/>
      <c r="D12" s="187">
        <f>D13+D34</f>
        <v>84857.5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6527.5</v>
      </c>
      <c r="C13" s="189"/>
      <c r="D13" s="190">
        <f>D14+D19+D26</f>
        <v>84857.5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6527.5</v>
      </c>
      <c r="C14" s="192"/>
      <c r="D14" s="193">
        <f>SUM(D15:D18)</f>
        <v>84857.5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148</v>
      </c>
      <c r="B15" s="201">
        <v>6527.5</v>
      </c>
      <c r="C15" s="197">
        <v>12</v>
      </c>
      <c r="D15" s="198">
        <f t="shared" ref="D15:D16" si="0">B15*C15</f>
        <v>78330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143</v>
      </c>
      <c r="B16" s="201">
        <v>6527.5</v>
      </c>
      <c r="C16" s="202">
        <v>1</v>
      </c>
      <c r="D16" s="198">
        <f t="shared" si="0"/>
        <v>6527.5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6527.5</v>
      </c>
      <c r="C38" s="186"/>
      <c r="D38" s="187">
        <f>D13+D34</f>
        <v>84857.5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18668.650000000001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6527.5</v>
      </c>
      <c r="C40" s="204"/>
      <c r="D40" s="205">
        <f>SUM(D38:D39)</f>
        <v>103526.15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SUM(D45:D51)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51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1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175" t="s">
        <v>35</v>
      </c>
      <c r="B62" s="189"/>
      <c r="C62" s="189"/>
      <c r="D62" s="189">
        <f>SUM(D63:D64)</f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200"/>
      <c r="B63" s="201"/>
      <c r="C63" s="201"/>
      <c r="D63" s="198">
        <f t="shared" ref="D63:D64" si="7">B63*C63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hidden="1" customHeight="1" thickBot="1">
      <c r="A68" s="285" t="s">
        <v>37</v>
      </c>
      <c r="B68" s="286"/>
      <c r="C68" s="287"/>
      <c r="D68" s="288">
        <f>D44+D52+D60+D62+D65</f>
        <v>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 thickBo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/>
      <c r="C79" s="202"/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 thickBo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140</v>
      </c>
      <c r="B88" s="201">
        <v>31888.799999999999</v>
      </c>
      <c r="C88" s="201">
        <f t="shared" ref="C88:C107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272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141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142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273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:D107" si="13">B100*C100</f>
        <v>194160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13724.5</v>
      </c>
      <c r="C101" s="201">
        <f t="shared" si="11"/>
        <v>12</v>
      </c>
      <c r="D101" s="198">
        <f t="shared" si="13"/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customHeight="1">
      <c r="A102" s="210" t="s">
        <v>136</v>
      </c>
      <c r="B102" s="201">
        <v>15224.5</v>
      </c>
      <c r="C102" s="201">
        <f t="shared" si="11"/>
        <v>12</v>
      </c>
      <c r="D102" s="198">
        <f t="shared" si="13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customHeight="1">
      <c r="A103" s="200" t="s">
        <v>19</v>
      </c>
      <c r="B103" s="201">
        <v>45129</v>
      </c>
      <c r="C103" s="201">
        <f t="shared" si="11"/>
        <v>12</v>
      </c>
      <c r="D103" s="198">
        <f t="shared" si="13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28.5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customHeight="1">
      <c r="A113" s="216" t="s">
        <v>63</v>
      </c>
      <c r="B113" s="217"/>
      <c r="C113" s="217"/>
      <c r="D113" s="218">
        <f>SUM(D114:D117)</f>
        <v>18840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customHeight="1">
      <c r="A114" s="200" t="s">
        <v>275</v>
      </c>
      <c r="B114" s="201">
        <v>18840</v>
      </c>
      <c r="C114" s="197">
        <v>1</v>
      </c>
      <c r="D114" s="198">
        <f t="shared" ref="D114:D117" si="14">B114*C114</f>
        <v>18840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customHeight="1" thickBot="1">
      <c r="A127" s="178" t="s">
        <v>25</v>
      </c>
      <c r="B127" s="221"/>
      <c r="C127" s="221"/>
      <c r="D127" s="213">
        <f>D113+D118+D124</f>
        <v>18840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customHeight="1">
      <c r="A160" s="173" t="s">
        <v>84</v>
      </c>
      <c r="B160" s="186"/>
      <c r="C160" s="242"/>
      <c r="D160" s="190">
        <f>SUM(D161:D162)</f>
        <v>4489.5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>
        <v>4489.5</v>
      </c>
      <c r="C162" s="238">
        <v>1</v>
      </c>
      <c r="D162" s="198">
        <f t="shared" si="22"/>
        <v>4489.5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4489.5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103526.15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11516072.68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8.9897096759205229E-3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103526.15</v>
      </c>
      <c r="C180" s="257" t="s">
        <v>99</v>
      </c>
      <c r="D180" s="258">
        <f t="shared" ref="D180:D182" si="24">B180</f>
        <v>103526.15</v>
      </c>
      <c r="E180" s="259">
        <f>D180/B4/B5</f>
        <v>49.581489463601528</v>
      </c>
      <c r="F180" s="260">
        <f t="shared" ref="F180:F182" si="25">E180</f>
        <v>49.581489463601528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103526.15</v>
      </c>
      <c r="C183" s="186"/>
      <c r="D183" s="262">
        <f t="shared" ref="D183:F183" si="26">SUM(D180:D182)</f>
        <v>103526.15</v>
      </c>
      <c r="E183" s="263">
        <f t="shared" si="26"/>
        <v>49.581489463601528</v>
      </c>
      <c r="F183" s="187">
        <f t="shared" si="26"/>
        <v>49.581489463601528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1046065.2047999999</v>
      </c>
      <c r="C185" s="237">
        <f t="shared" ref="C185:C187" si="27">$B$175</f>
        <v>8.9897096759205229E-3</v>
      </c>
      <c r="D185" s="258">
        <f t="shared" ref="D185:D187" si="28">B185*C185</f>
        <v>9403.8224932343437</v>
      </c>
      <c r="E185" s="259">
        <f>D185/B4/B5</f>
        <v>4.5037464048057201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18840</v>
      </c>
      <c r="C186" s="237">
        <f t="shared" si="27"/>
        <v>8.9897096759205229E-3</v>
      </c>
      <c r="D186" s="258">
        <f t="shared" si="28"/>
        <v>169.36613029434264</v>
      </c>
      <c r="E186" s="259">
        <f>D186/B4/B5</f>
        <v>8.1114047075834597E-2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4489.5</v>
      </c>
      <c r="C187" s="237">
        <f t="shared" si="27"/>
        <v>8.9897096759205229E-3</v>
      </c>
      <c r="D187" s="258">
        <f t="shared" si="28"/>
        <v>40.359301590045185</v>
      </c>
      <c r="E187" s="259">
        <f>D187/B4/B5</f>
        <v>1.932916742818256E-2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1069394.7047999999</v>
      </c>
      <c r="C188" s="186"/>
      <c r="D188" s="262">
        <f t="shared" ref="D188:E188" si="29">SUM(D185:D187)</f>
        <v>9613.5479251187317</v>
      </c>
      <c r="E188" s="263">
        <f t="shared" si="29"/>
        <v>4.6041896193097367</v>
      </c>
      <c r="F188" s="187">
        <f>F180*15%</f>
        <v>7.4372234195402287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54.185679082911264</v>
      </c>
      <c r="F189" s="205">
        <f t="shared" si="30"/>
        <v>57.01871288314176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54.185679082911264</v>
      </c>
      <c r="C194" s="271">
        <f>262*8</f>
        <v>2096</v>
      </c>
      <c r="D194" s="271">
        <v>1</v>
      </c>
      <c r="E194" s="187">
        <f>B194*C194*D194</f>
        <v>113573.18335778201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/>
    <hyperlink ref="F178" location="Google_Sheet_Link_1070266638" display="Вартість на людино-годину, грн. [2]"/>
  </hyperlinks>
  <pageMargins left="0.7" right="0.7" top="0.75" bottom="0.75" header="0.3" footer="0.3"/>
  <pageSetup paperSize="9" scale="5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999"/>
  <sheetViews>
    <sheetView workbookViewId="0">
      <selection activeCell="C61" sqref="C61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148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15749.5</v>
      </c>
      <c r="C12" s="186"/>
      <c r="D12" s="187">
        <f>D13+D34</f>
        <v>204743.5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15749.5</v>
      </c>
      <c r="C13" s="189"/>
      <c r="D13" s="190">
        <f>D14+D19+D26</f>
        <v>204743.5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15749.5</v>
      </c>
      <c r="C14" s="192"/>
      <c r="D14" s="193">
        <f>SUM(D15:D18)</f>
        <v>204743.5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149</v>
      </c>
      <c r="B15" s="201">
        <v>15749.5</v>
      </c>
      <c r="C15" s="197">
        <v>12</v>
      </c>
      <c r="D15" s="198">
        <f t="shared" ref="D15:D16" si="0">B15*C15</f>
        <v>188994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143</v>
      </c>
      <c r="B16" s="201">
        <v>15749.5</v>
      </c>
      <c r="C16" s="202">
        <v>1</v>
      </c>
      <c r="D16" s="198">
        <f t="shared" si="0"/>
        <v>15749.5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15749.5</v>
      </c>
      <c r="C38" s="186"/>
      <c r="D38" s="187">
        <f>D13+D34</f>
        <v>204743.5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45043.57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15749.5</v>
      </c>
      <c r="C40" s="204"/>
      <c r="D40" s="205">
        <f>SUM(D38:D39)</f>
        <v>249787.07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SUM(D45:D50)</f>
        <v>110000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10" t="s">
        <v>276</v>
      </c>
      <c r="B45" s="201">
        <v>110000</v>
      </c>
      <c r="C45" s="197">
        <v>1</v>
      </c>
      <c r="D45" s="198">
        <f t="shared" ref="D45:D50" si="5">B45*C45</f>
        <v>110000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175" t="s">
        <v>33</v>
      </c>
      <c r="B51" s="281"/>
      <c r="C51" s="282"/>
      <c r="D51" s="212">
        <f>SUM(D52:D58)</f>
        <v>0</v>
      </c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</row>
    <row r="52" spans="1:26" ht="13.5" hidden="1" customHeight="1">
      <c r="A52" s="200"/>
      <c r="B52" s="201"/>
      <c r="C52" s="197"/>
      <c r="D52" s="198">
        <f t="shared" ref="D52:D58" si="6">B52*C52</f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175" t="s">
        <v>34</v>
      </c>
      <c r="B59" s="189"/>
      <c r="C59" s="189"/>
      <c r="D59" s="190">
        <f>D60</f>
        <v>0</v>
      </c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</row>
    <row r="60" spans="1:26" ht="13.5" hidden="1" customHeight="1">
      <c r="A60" s="200"/>
      <c r="B60" s="201"/>
      <c r="C60" s="283"/>
      <c r="D60" s="198">
        <f>B60*C60</f>
        <v>0</v>
      </c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customHeight="1">
      <c r="A61" s="175" t="s">
        <v>35</v>
      </c>
      <c r="B61" s="189"/>
      <c r="C61" s="189"/>
      <c r="D61" s="189">
        <f>SUM(D62:D63)</f>
        <v>10000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customHeight="1">
      <c r="A62" s="200" t="s">
        <v>278</v>
      </c>
      <c r="B62" s="201">
        <v>10000</v>
      </c>
      <c r="C62" s="201">
        <v>1</v>
      </c>
      <c r="D62" s="198">
        <f t="shared" ref="D62:D63" si="7">B62*C62</f>
        <v>10000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/>
      <c r="B63" s="201"/>
      <c r="C63" s="201"/>
      <c r="D63" s="198">
        <f t="shared" si="7"/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 t="s">
        <v>36</v>
      </c>
      <c r="B64" s="189"/>
      <c r="C64" s="189"/>
      <c r="D64" s="189">
        <f>SUM(D65:D66)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00"/>
      <c r="B65" s="201"/>
      <c r="C65" s="201"/>
      <c r="D65" s="198">
        <f t="shared" ref="D65:D66" si="8">B65*C65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84"/>
      <c r="B66" s="201"/>
      <c r="C66" s="201"/>
      <c r="D66" s="198">
        <f t="shared" si="8"/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5.75" customHeight="1" thickBot="1">
      <c r="A67" s="285" t="s">
        <v>37</v>
      </c>
      <c r="B67" s="286"/>
      <c r="C67" s="287"/>
      <c r="D67" s="288">
        <f>D44+D51+D59+D61+D64</f>
        <v>120000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3.5" customHeight="1">
      <c r="A68" s="289"/>
      <c r="B68" s="290"/>
      <c r="C68" s="290"/>
      <c r="D68" s="290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s="349" customFormat="1" ht="21.75" hidden="1" customHeight="1" thickBot="1">
      <c r="A69" s="346" t="s">
        <v>38</v>
      </c>
      <c r="B69" s="347"/>
      <c r="C69" s="347"/>
      <c r="D69" s="347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  <c r="X69" s="348"/>
      <c r="Y69" s="348"/>
      <c r="Z69" s="348"/>
    </row>
    <row r="70" spans="1:26" s="349" customFormat="1" ht="26.25" hidden="1" customHeight="1">
      <c r="A70" s="350" t="s">
        <v>27</v>
      </c>
      <c r="B70" s="351" t="s">
        <v>39</v>
      </c>
      <c r="C70" s="351" t="s">
        <v>40</v>
      </c>
      <c r="D70" s="352" t="s">
        <v>14</v>
      </c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</row>
    <row r="71" spans="1:26" s="349" customFormat="1" ht="13.5" hidden="1" customHeight="1">
      <c r="A71" s="354" t="s">
        <v>41</v>
      </c>
      <c r="B71" s="355"/>
      <c r="C71" s="356"/>
      <c r="D71" s="357">
        <f>D72+D75</f>
        <v>0</v>
      </c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</row>
    <row r="72" spans="1:26" s="349" customFormat="1" ht="13.5" hidden="1" customHeight="1">
      <c r="A72" s="359" t="s">
        <v>42</v>
      </c>
      <c r="B72" s="360"/>
      <c r="C72" s="361"/>
      <c r="D72" s="362">
        <f>SUM(D73:D74)</f>
        <v>0</v>
      </c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</row>
    <row r="73" spans="1:26" s="349" customFormat="1" ht="13.5" hidden="1" customHeight="1">
      <c r="A73" s="359"/>
      <c r="B73" s="363"/>
      <c r="C73" s="361"/>
      <c r="D73" s="362">
        <f t="shared" ref="D73:D74" si="9">B73*C73</f>
        <v>0</v>
      </c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</row>
    <row r="74" spans="1:26" s="349" customFormat="1" ht="13.5" hidden="1" customHeight="1">
      <c r="A74" s="359"/>
      <c r="B74" s="360"/>
      <c r="C74" s="361"/>
      <c r="D74" s="362">
        <f t="shared" si="9"/>
        <v>0</v>
      </c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</row>
    <row r="75" spans="1:26" s="349" customFormat="1" ht="13.5" hidden="1" customHeight="1">
      <c r="A75" s="359" t="s">
        <v>44</v>
      </c>
      <c r="B75" s="360"/>
      <c r="C75" s="361"/>
      <c r="D75" s="362">
        <f>SUM(D76)</f>
        <v>0</v>
      </c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</row>
    <row r="76" spans="1:26" s="349" customFormat="1" ht="13.5" hidden="1" customHeight="1">
      <c r="A76" s="359"/>
      <c r="B76" s="363"/>
      <c r="C76" s="361"/>
      <c r="D76" s="362">
        <f t="shared" ref="D76:D78" si="10">B76*C76</f>
        <v>0</v>
      </c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</row>
    <row r="77" spans="1:26" s="349" customFormat="1" ht="13.5" hidden="1" customHeight="1">
      <c r="A77" s="354" t="s">
        <v>46</v>
      </c>
      <c r="B77" s="364"/>
      <c r="C77" s="361"/>
      <c r="D77" s="357">
        <f t="shared" si="10"/>
        <v>0</v>
      </c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</row>
    <row r="78" spans="1:26" s="349" customFormat="1" ht="13.5" hidden="1" customHeight="1">
      <c r="A78" s="354" t="s">
        <v>47</v>
      </c>
      <c r="B78" s="364"/>
      <c r="C78" s="361"/>
      <c r="D78" s="357">
        <f t="shared" si="10"/>
        <v>0</v>
      </c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3"/>
      <c r="T78" s="353"/>
      <c r="U78" s="353"/>
      <c r="V78" s="353"/>
      <c r="W78" s="353"/>
      <c r="X78" s="353"/>
      <c r="Y78" s="353"/>
      <c r="Z78" s="353"/>
    </row>
    <row r="79" spans="1:26" s="349" customFormat="1" ht="13.5" hidden="1" customHeight="1">
      <c r="A79" s="354" t="s">
        <v>48</v>
      </c>
      <c r="B79" s="355"/>
      <c r="C79" s="356"/>
      <c r="D79" s="357">
        <v>0</v>
      </c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3"/>
      <c r="Y79" s="353"/>
      <c r="Z79" s="353"/>
    </row>
    <row r="80" spans="1:26" s="349" customFormat="1" ht="15.75" hidden="1" customHeight="1" thickBot="1">
      <c r="A80" s="365" t="s">
        <v>25</v>
      </c>
      <c r="B80" s="366"/>
      <c r="C80" s="367"/>
      <c r="D80" s="368">
        <f>D71+D77+D78+D79</f>
        <v>0</v>
      </c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  <c r="Y80" s="358"/>
      <c r="Z80" s="358"/>
    </row>
    <row r="81" spans="1:26" s="349" customFormat="1" ht="13.5" hidden="1" customHeight="1">
      <c r="A81" s="369"/>
      <c r="B81" s="370"/>
      <c r="C81" s="371"/>
      <c r="D81" s="372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  <c r="Y81" s="358"/>
      <c r="Z81" s="358"/>
    </row>
    <row r="82" spans="1:26" ht="13.5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21.75" customHeight="1">
      <c r="A83" s="301" t="s">
        <v>49</v>
      </c>
      <c r="B83" s="302"/>
      <c r="C83" s="303"/>
      <c r="D83" s="302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</row>
    <row r="84" spans="1:26" ht="13.5" customHeight="1" thickBot="1">
      <c r="A84" s="248" t="s">
        <v>50</v>
      </c>
      <c r="B84" s="225"/>
      <c r="C84" s="225"/>
      <c r="D84" s="225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</row>
    <row r="85" spans="1:26" ht="41.25" customHeight="1">
      <c r="A85" s="206" t="s">
        <v>51</v>
      </c>
      <c r="B85" s="182" t="s">
        <v>12</v>
      </c>
      <c r="C85" s="182" t="s">
        <v>52</v>
      </c>
      <c r="D85" s="207" t="s">
        <v>14</v>
      </c>
      <c r="E85" s="208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customHeight="1">
      <c r="A86" s="175" t="s">
        <v>53</v>
      </c>
      <c r="B86" s="189">
        <f>SUM(B87:B97)</f>
        <v>322158.82000000007</v>
      </c>
      <c r="C86" s="209"/>
      <c r="D86" s="190">
        <f>SUM(D87:D97)</f>
        <v>3865905.84</v>
      </c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</row>
    <row r="87" spans="1:26" ht="13.5" customHeight="1">
      <c r="A87" s="210" t="s">
        <v>140</v>
      </c>
      <c r="B87" s="201">
        <v>31888.799999999999</v>
      </c>
      <c r="C87" s="201">
        <f t="shared" ref="C87:C106" si="11">$B$7</f>
        <v>12</v>
      </c>
      <c r="D87" s="198">
        <f t="shared" ref="D87:D97" si="12">B87*C87</f>
        <v>382665.6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10" t="s">
        <v>272</v>
      </c>
      <c r="B88" s="201">
        <v>29529.360000000001</v>
      </c>
      <c r="C88" s="201">
        <v>12</v>
      </c>
      <c r="D88" s="198">
        <f t="shared" si="12"/>
        <v>354352.32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00" t="s">
        <v>141</v>
      </c>
      <c r="B89" s="201">
        <v>28128.05</v>
      </c>
      <c r="C89" s="201">
        <f t="shared" si="11"/>
        <v>12</v>
      </c>
      <c r="D89" s="198">
        <f t="shared" si="12"/>
        <v>337536.6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142</v>
      </c>
      <c r="B90" s="201">
        <v>26790.5</v>
      </c>
      <c r="C90" s="201">
        <f t="shared" si="11"/>
        <v>12</v>
      </c>
      <c r="D90" s="198">
        <f t="shared" si="12"/>
        <v>321486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3</v>
      </c>
      <c r="B91" s="201">
        <v>22722.5</v>
      </c>
      <c r="C91" s="201">
        <v>12</v>
      </c>
      <c r="D91" s="198">
        <f t="shared" si="12"/>
        <v>272670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273</v>
      </c>
      <c r="B92" s="201">
        <v>22020.2</v>
      </c>
      <c r="C92" s="201">
        <v>12</v>
      </c>
      <c r="D92" s="198">
        <f t="shared" si="12"/>
        <v>264242.40000000002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00" t="s">
        <v>19</v>
      </c>
      <c r="B93" s="201">
        <v>161079.41</v>
      </c>
      <c r="C93" s="201">
        <f t="shared" si="11"/>
        <v>12</v>
      </c>
      <c r="D93" s="198">
        <f t="shared" si="12"/>
        <v>1932952.92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175" t="s">
        <v>58</v>
      </c>
      <c r="B98" s="211">
        <f>B99+B100+B101+B102</f>
        <v>90258</v>
      </c>
      <c r="C98" s="209"/>
      <c r="D98" s="212">
        <f>SUM(D100:D106)</f>
        <v>888936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customHeight="1">
      <c r="A99" s="200" t="s">
        <v>57</v>
      </c>
      <c r="B99" s="201">
        <v>16180</v>
      </c>
      <c r="C99" s="201">
        <f t="shared" si="11"/>
        <v>12</v>
      </c>
      <c r="D99" s="198">
        <f t="shared" ref="D99:D106" si="13">B99*C99</f>
        <v>194160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customHeight="1">
      <c r="A100" s="200" t="s">
        <v>59</v>
      </c>
      <c r="B100" s="201">
        <v>13724.5</v>
      </c>
      <c r="C100" s="201">
        <f t="shared" si="11"/>
        <v>12</v>
      </c>
      <c r="D100" s="198">
        <f t="shared" si="13"/>
        <v>164694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10" t="s">
        <v>136</v>
      </c>
      <c r="B101" s="201">
        <v>15224.5</v>
      </c>
      <c r="C101" s="201">
        <f t="shared" si="11"/>
        <v>12</v>
      </c>
      <c r="D101" s="198">
        <f t="shared" si="13"/>
        <v>182694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 t="s">
        <v>19</v>
      </c>
      <c r="B102" s="201">
        <v>45129</v>
      </c>
      <c r="C102" s="201">
        <f t="shared" si="11"/>
        <v>12</v>
      </c>
      <c r="D102" s="198">
        <f t="shared" si="13"/>
        <v>541548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173" t="s">
        <v>23</v>
      </c>
      <c r="B107" s="186">
        <f>B86+B98</f>
        <v>412416.82000000007</v>
      </c>
      <c r="C107" s="186"/>
      <c r="D107" s="187">
        <f>D86+D98</f>
        <v>4754841.84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5.75" customHeight="1">
      <c r="A108" s="173" t="s">
        <v>61</v>
      </c>
      <c r="B108" s="186"/>
      <c r="C108" s="202"/>
      <c r="D108" s="190">
        <f>D107*0.22</f>
        <v>1046065.2047999999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3.5" customHeight="1" thickBot="1">
      <c r="A109" s="203" t="s">
        <v>25</v>
      </c>
      <c r="B109" s="204"/>
      <c r="C109" s="204"/>
      <c r="D109" s="213">
        <f>D107+D108</f>
        <v>5800907.0448000003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21.75" hidden="1" customHeight="1" thickBot="1">
      <c r="A110" s="223" t="s">
        <v>62</v>
      </c>
      <c r="B110" s="291"/>
      <c r="C110" s="305"/>
      <c r="D110" s="291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</row>
    <row r="111" spans="1:26" ht="13.5" hidden="1" customHeight="1">
      <c r="A111" s="206" t="s">
        <v>27</v>
      </c>
      <c r="B111" s="182" t="s">
        <v>28</v>
      </c>
      <c r="C111" s="182" t="s">
        <v>40</v>
      </c>
      <c r="D111" s="207" t="s">
        <v>14</v>
      </c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5.5" hidden="1" customHeight="1">
      <c r="A112" s="216" t="s">
        <v>63</v>
      </c>
      <c r="B112" s="217"/>
      <c r="C112" s="217"/>
      <c r="D112" s="218">
        <f>SUM(D113:D116)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24.75" hidden="1" customHeight="1">
      <c r="A113" s="200"/>
      <c r="B113" s="201"/>
      <c r="C113" s="197"/>
      <c r="D113" s="198">
        <f t="shared" ref="D113:D116" si="14">B113*C113</f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1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0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6" t="s">
        <v>64</v>
      </c>
      <c r="B117" s="189"/>
      <c r="C117" s="189"/>
      <c r="D117" s="190">
        <f>SUM(D118:D122)</f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00"/>
      <c r="B118" s="201"/>
      <c r="C118" s="197"/>
      <c r="D118" s="198">
        <f t="shared" ref="D118:D122" si="15">B118*C118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6" t="s">
        <v>65</v>
      </c>
      <c r="B123" s="189"/>
      <c r="C123" s="189"/>
      <c r="D123" s="189">
        <f>SUM(D124:D125)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20"/>
      <c r="B124" s="201"/>
      <c r="C124" s="201"/>
      <c r="D124" s="198">
        <f t="shared" ref="D124:D125" si="16">B124*C124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si="16"/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5.75" hidden="1" customHeight="1" thickBot="1">
      <c r="A126" s="178" t="s">
        <v>25</v>
      </c>
      <c r="B126" s="221"/>
      <c r="C126" s="221"/>
      <c r="D126" s="213">
        <f>D112+D117+D123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3.5" hidden="1" customHeight="1">
      <c r="A127" s="177"/>
      <c r="B127" s="215"/>
      <c r="C127" s="222"/>
      <c r="D127" s="215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21.75" hidden="1" customHeight="1" thickBot="1">
      <c r="A128" s="223" t="s">
        <v>66</v>
      </c>
      <c r="B128" s="224"/>
      <c r="C128" s="225"/>
      <c r="D128" s="224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</row>
    <row r="129" spans="1:26" ht="13.5" hidden="1" customHeight="1">
      <c r="A129" s="206" t="s">
        <v>27</v>
      </c>
      <c r="B129" s="182" t="s">
        <v>28</v>
      </c>
      <c r="C129" s="182" t="s">
        <v>40</v>
      </c>
      <c r="D129" s="207" t="s">
        <v>14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7" t="s">
        <v>67</v>
      </c>
      <c r="B130" s="228"/>
      <c r="C130" s="228"/>
      <c r="D130" s="190"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68</v>
      </c>
      <c r="B131" s="228"/>
      <c r="C131" s="228"/>
      <c r="D131" s="190">
        <f>SUM(D132:D138)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9"/>
      <c r="B132" s="230"/>
      <c r="C132" s="231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3"/>
      <c r="C133" s="234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5"/>
      <c r="C135" s="217"/>
      <c r="D135" s="190">
        <f>SUM(D136:D138)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ref="D136:D138" si="17">B136*C136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si="17"/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173" t="s">
        <v>72</v>
      </c>
      <c r="B139" s="217"/>
      <c r="C139" s="217"/>
      <c r="D139" s="190">
        <f>SUM(D140:D142)</f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4"/>
      <c r="D140" s="198">
        <f t="shared" ref="D140:D142" si="18">B140*C140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si="18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6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27" t="s">
        <v>75</v>
      </c>
      <c r="B143" s="237"/>
      <c r="C143" s="238"/>
      <c r="D143" s="190">
        <f>SUM(D144)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32"/>
      <c r="B144" s="239"/>
      <c r="C144" s="240"/>
      <c r="D144" s="198">
        <f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 t="s">
        <v>77</v>
      </c>
      <c r="B145" s="237"/>
      <c r="C145" s="237"/>
      <c r="D145" s="186">
        <f>SUM(D146:D147)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241"/>
      <c r="B146" s="237"/>
      <c r="C146" s="238"/>
      <c r="D146" s="198">
        <f t="shared" ref="D146:D147" si="19"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173"/>
      <c r="B147" s="236"/>
      <c r="C147" s="236"/>
      <c r="D147" s="198">
        <f t="shared" si="19"/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 t="s">
        <v>79</v>
      </c>
      <c r="B148" s="186"/>
      <c r="C148" s="242"/>
      <c r="D148" s="190">
        <f>SUM(D149:D152)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41"/>
      <c r="B149" s="237"/>
      <c r="C149" s="238"/>
      <c r="D149" s="198">
        <f t="shared" ref="D149:D152" si="20">B149*C149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173" t="s">
        <v>80</v>
      </c>
      <c r="B153" s="186"/>
      <c r="C153" s="242"/>
      <c r="D153" s="190">
        <f>SUM(D154:D155)</f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243" t="s">
        <v>138</v>
      </c>
      <c r="B154" s="201"/>
      <c r="C154" s="238"/>
      <c r="D154" s="198">
        <f t="shared" ref="D154:D155" si="21">B154*C154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/>
      <c r="B155" s="237"/>
      <c r="C155" s="238"/>
      <c r="D155" s="198">
        <f t="shared" si="21"/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173" t="s">
        <v>82</v>
      </c>
      <c r="B156" s="186"/>
      <c r="C156" s="242"/>
      <c r="D156" s="190">
        <f>SUM(D157)</f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241" t="s">
        <v>83</v>
      </c>
      <c r="B157" s="237"/>
      <c r="C157" s="238"/>
      <c r="D157" s="198">
        <f>B157*C157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/>
      <c r="B158" s="237"/>
      <c r="C158" s="238"/>
      <c r="D158" s="198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173" t="s">
        <v>84</v>
      </c>
      <c r="B159" s="186"/>
      <c r="C159" s="242"/>
      <c r="D159" s="190">
        <f>SUM(D160:D161)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241" t="s">
        <v>85</v>
      </c>
      <c r="B160" s="237"/>
      <c r="C160" s="238"/>
      <c r="D160" s="198">
        <f t="shared" ref="D160:D161" si="22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/>
      <c r="B161" s="237"/>
      <c r="C161" s="238"/>
      <c r="D161" s="198">
        <f t="shared" si="22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173" t="s">
        <v>48</v>
      </c>
      <c r="B162" s="186"/>
      <c r="C162" s="242"/>
      <c r="D162" s="190">
        <f>SUM(D163:D165)</f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 t="s">
        <v>2</v>
      </c>
      <c r="B163" s="237"/>
      <c r="C163" s="238"/>
      <c r="D163" s="198">
        <f t="shared" ref="D163:D165" si="23">B163*C163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/>
      <c r="B164" s="237"/>
      <c r="C164" s="238"/>
      <c r="D164" s="198">
        <f t="shared" si="23"/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5.75" hidden="1" customHeight="1" thickBot="1">
      <c r="A166" s="203" t="s">
        <v>25</v>
      </c>
      <c r="B166" s="204"/>
      <c r="C166" s="244"/>
      <c r="D166" s="213">
        <f>D130+D135+D131+D139+D143+D145+D148+D153+D156+D159+D162</f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177"/>
      <c r="B167" s="222"/>
      <c r="C167" s="222"/>
      <c r="D167" s="222"/>
      <c r="E167" s="222"/>
      <c r="F167" s="222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21.75" customHeight="1">
      <c r="A169" s="248" t="s">
        <v>86</v>
      </c>
      <c r="B169" s="226"/>
      <c r="C169" s="226"/>
      <c r="D169" s="226"/>
      <c r="E169" s="249"/>
      <c r="F169" s="225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</row>
    <row r="170" spans="1:26" ht="21.75" customHeight="1" thickBot="1">
      <c r="A170" s="248" t="s">
        <v>87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15.75" customHeight="1">
      <c r="A171" s="168" t="s">
        <v>88</v>
      </c>
      <c r="B171" s="245" t="s">
        <v>89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3.5" customHeight="1">
      <c r="A172" s="241" t="s">
        <v>90</v>
      </c>
      <c r="B172" s="246">
        <f>D40</f>
        <v>249787.07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91</v>
      </c>
      <c r="B173" s="246">
        <v>11516072.68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5.75" customHeight="1" thickBot="1">
      <c r="A174" s="203" t="s">
        <v>92</v>
      </c>
      <c r="B174" s="205">
        <f>B172/B173</f>
        <v>2.1690299891368871E-2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3.5" customHeight="1">
      <c r="A175" s="247"/>
      <c r="B175" s="177"/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21.75" customHeight="1" thickBot="1">
      <c r="A176" s="248" t="s">
        <v>93</v>
      </c>
      <c r="B176" s="226"/>
      <c r="C176" s="226"/>
      <c r="D176" s="226"/>
      <c r="E176" s="249"/>
      <c r="F176" s="225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</row>
    <row r="177" spans="1:26" ht="46.5" customHeight="1">
      <c r="A177" s="181" t="s">
        <v>88</v>
      </c>
      <c r="B177" s="182" t="s">
        <v>14</v>
      </c>
      <c r="C177" s="182" t="s">
        <v>94</v>
      </c>
      <c r="D177" s="250" t="s">
        <v>95</v>
      </c>
      <c r="E177" s="251" t="s">
        <v>96</v>
      </c>
      <c r="F177" s="252" t="s">
        <v>96</v>
      </c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</row>
    <row r="178" spans="1:26" ht="13.5" customHeight="1">
      <c r="A178" s="173" t="s">
        <v>97</v>
      </c>
      <c r="B178" s="186"/>
      <c r="C178" s="242"/>
      <c r="D178" s="254"/>
      <c r="E178" s="255"/>
      <c r="F178" s="256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98</v>
      </c>
      <c r="B179" s="233">
        <f>D40</f>
        <v>249787.07</v>
      </c>
      <c r="C179" s="257" t="s">
        <v>99</v>
      </c>
      <c r="D179" s="258">
        <f t="shared" ref="D179:D181" si="24">B179</f>
        <v>249787.07</v>
      </c>
      <c r="E179" s="259">
        <f>D179/B4/B5</f>
        <v>119.62982279693487</v>
      </c>
      <c r="F179" s="260">
        <f t="shared" ref="F179:F181" si="25">E179</f>
        <v>119.62982279693487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100</v>
      </c>
      <c r="B180" s="233">
        <f>D67</f>
        <v>120000</v>
      </c>
      <c r="C180" s="257" t="s">
        <v>99</v>
      </c>
      <c r="D180" s="258">
        <f t="shared" si="24"/>
        <v>120000</v>
      </c>
      <c r="E180" s="259">
        <f>B180/B4/B5</f>
        <v>57.47126436781609</v>
      </c>
      <c r="F180" s="260">
        <f t="shared" si="25"/>
        <v>57.47126436781609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101</v>
      </c>
      <c r="B181" s="233">
        <f>D80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61" t="s">
        <v>102</v>
      </c>
      <c r="B182" s="186">
        <f>SUM(B179:B181)</f>
        <v>369787.07</v>
      </c>
      <c r="C182" s="186"/>
      <c r="D182" s="262">
        <f t="shared" ref="D182:F182" si="26">SUM(D179:D181)</f>
        <v>369787.07</v>
      </c>
      <c r="E182" s="263">
        <f t="shared" si="26"/>
        <v>177.10108716475096</v>
      </c>
      <c r="F182" s="187">
        <f t="shared" si="26"/>
        <v>177.10108716475096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173" t="s">
        <v>103</v>
      </c>
      <c r="B183" s="186"/>
      <c r="C183" s="242"/>
      <c r="D183" s="254"/>
      <c r="E183" s="255"/>
      <c r="F183" s="264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98</v>
      </c>
      <c r="B184" s="237">
        <f>D108</f>
        <v>1046065.2047999999</v>
      </c>
      <c r="C184" s="237">
        <f t="shared" ref="C184:C186" si="27">$B$174</f>
        <v>2.1690299891368871E-2</v>
      </c>
      <c r="D184" s="258">
        <f t="shared" ref="D184:D186" si="28">B184*C184</f>
        <v>22689.467998038195</v>
      </c>
      <c r="E184" s="259">
        <f>D184/B4/B5</f>
        <v>10.866603447336301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100</v>
      </c>
      <c r="B185" s="237">
        <f>D126</f>
        <v>0</v>
      </c>
      <c r="C185" s="237">
        <f t="shared" si="27"/>
        <v>2.1690299891368871E-2</v>
      </c>
      <c r="D185" s="258">
        <f t="shared" si="28"/>
        <v>0</v>
      </c>
      <c r="E185" s="259">
        <f>D185/B4/B5</f>
        <v>0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104</v>
      </c>
      <c r="B186" s="237">
        <f>D166</f>
        <v>0</v>
      </c>
      <c r="C186" s="237">
        <f t="shared" si="27"/>
        <v>2.1690299891368871E-2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61" t="s">
        <v>105</v>
      </c>
      <c r="B187" s="186">
        <f>SUM(B184:B186)</f>
        <v>1046065.2047999999</v>
      </c>
      <c r="C187" s="186"/>
      <c r="D187" s="262">
        <f t="shared" ref="D187:E187" si="29">SUM(D184:D186)</f>
        <v>22689.467998038195</v>
      </c>
      <c r="E187" s="263">
        <f t="shared" si="29"/>
        <v>10.866603447336301</v>
      </c>
      <c r="F187" s="187">
        <f>F179*15%</f>
        <v>17.94447341954023</v>
      </c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5.75" customHeight="1" thickBot="1">
      <c r="A188" s="265" t="s">
        <v>106</v>
      </c>
      <c r="B188" s="204"/>
      <c r="C188" s="204"/>
      <c r="D188" s="266"/>
      <c r="E188" s="267">
        <f t="shared" ref="E188:F188" si="30">E182+E187</f>
        <v>187.96769061208727</v>
      </c>
      <c r="F188" s="205">
        <f t="shared" si="30"/>
        <v>195.0455605842912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>
      <c r="A189" s="247"/>
      <c r="B189" s="177"/>
      <c r="C189" s="177"/>
      <c r="D189" s="177"/>
      <c r="F189" s="222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68"/>
      <c r="B190" s="269"/>
      <c r="C190" s="222"/>
      <c r="D190" s="177"/>
      <c r="E190" s="270"/>
      <c r="F190" s="270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 thickBot="1">
      <c r="A191" s="223" t="s">
        <v>107</v>
      </c>
      <c r="B191" s="248"/>
      <c r="C191" s="248"/>
      <c r="D191" s="248"/>
      <c r="E191" s="248"/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25.5" customHeight="1">
      <c r="A192" s="181" t="s">
        <v>108</v>
      </c>
      <c r="B192" s="182" t="s">
        <v>109</v>
      </c>
      <c r="C192" s="182" t="s">
        <v>110</v>
      </c>
      <c r="D192" s="182" t="s">
        <v>111</v>
      </c>
      <c r="E192" s="183" t="s">
        <v>14</v>
      </c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4.75" customHeight="1">
      <c r="A193" s="173" t="s">
        <v>112</v>
      </c>
      <c r="B193" s="186">
        <f>MIN(E188,F188)</f>
        <v>187.96769061208727</v>
      </c>
      <c r="C193" s="271">
        <f>262*8</f>
        <v>2096</v>
      </c>
      <c r="D193" s="271">
        <v>1</v>
      </c>
      <c r="E193" s="187">
        <f>B193*C193*D193</f>
        <v>393980.27952293493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214"/>
      <c r="B194" s="222"/>
      <c r="C194" s="222"/>
      <c r="D194" s="222"/>
      <c r="E194" s="222"/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177"/>
      <c r="B195" s="177"/>
      <c r="C195" s="177"/>
      <c r="D195" s="177"/>
      <c r="E195" s="199"/>
      <c r="F195" s="272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222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</sheetData>
  <hyperlinks>
    <hyperlink ref="E177" location="Google_Sheet_Link_278249023" display="Вартість на людино-годину, грн. [2]"/>
    <hyperlink ref="F177" location="Google_Sheet_Link_1070266638" display="Вартість на людино-годину, грн. [2]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1"/>
  <sheetViews>
    <sheetView tabSelected="1" workbookViewId="0">
      <selection activeCell="M5" sqref="M5"/>
    </sheetView>
  </sheetViews>
  <sheetFormatPr defaultRowHeight="12.75"/>
  <cols>
    <col min="2" max="2" width="32.28515625" customWidth="1"/>
    <col min="3" max="3" width="17" customWidth="1"/>
    <col min="4" max="4" width="11" customWidth="1"/>
    <col min="6" max="6" width="16.7109375" customWidth="1"/>
    <col min="7" max="7" width="2.28515625" customWidth="1"/>
  </cols>
  <sheetData>
    <row r="1" spans="1:7" s="163" customFormat="1" ht="45.6" customHeight="1">
      <c r="A1" s="381"/>
      <c r="B1" s="381"/>
      <c r="C1" s="406" t="s">
        <v>287</v>
      </c>
      <c r="D1" s="406"/>
      <c r="E1" s="406"/>
      <c r="F1" s="406"/>
    </row>
    <row r="2" spans="1:7" s="163" customFormat="1" ht="55.9" customHeight="1">
      <c r="A2" s="407" t="s">
        <v>286</v>
      </c>
      <c r="B2" s="407"/>
      <c r="C2" s="407"/>
      <c r="D2" s="407"/>
      <c r="E2" s="407"/>
      <c r="F2" s="407"/>
      <c r="G2" s="407"/>
    </row>
    <row r="3" spans="1:7" ht="15.75">
      <c r="A3" s="413" t="s">
        <v>150</v>
      </c>
      <c r="B3" s="414"/>
      <c r="C3" s="414"/>
      <c r="D3" s="414"/>
      <c r="E3" s="414"/>
      <c r="F3" s="414"/>
      <c r="G3" s="414"/>
    </row>
    <row r="4" spans="1:7" s="163" customFormat="1" ht="15.75" hidden="1">
      <c r="A4" s="310"/>
    </row>
    <row r="5" spans="1:7" ht="36.75" customHeight="1">
      <c r="A5" s="398" t="s">
        <v>277</v>
      </c>
      <c r="B5" s="399"/>
      <c r="C5" s="399"/>
      <c r="D5" s="399"/>
      <c r="E5" s="399"/>
      <c r="F5" s="399"/>
      <c r="G5" s="399"/>
    </row>
    <row r="6" spans="1:7" s="163" customFormat="1" ht="14.25" customHeight="1" thickBot="1">
      <c r="A6" s="313"/>
      <c r="B6" s="314"/>
      <c r="C6" s="314"/>
      <c r="D6" s="314"/>
      <c r="E6" s="314"/>
      <c r="F6" s="314">
        <v>149.07</v>
      </c>
      <c r="G6" s="314"/>
    </row>
    <row r="7" spans="1:7" ht="82.5" customHeight="1" thickBot="1">
      <c r="A7" s="322" t="s">
        <v>151</v>
      </c>
      <c r="B7" s="323" t="s">
        <v>152</v>
      </c>
      <c r="C7" s="323" t="s">
        <v>153</v>
      </c>
      <c r="D7" s="324" t="s">
        <v>154</v>
      </c>
      <c r="E7" s="323" t="s">
        <v>155</v>
      </c>
      <c r="F7" s="321" t="s">
        <v>156</v>
      </c>
    </row>
    <row r="8" spans="1:7" ht="15.75">
      <c r="A8" s="333">
        <v>1</v>
      </c>
      <c r="B8" s="334" t="s">
        <v>157</v>
      </c>
      <c r="C8" s="333"/>
      <c r="D8" s="335"/>
      <c r="E8" s="335"/>
      <c r="F8" s="335"/>
    </row>
    <row r="9" spans="1:7" s="163" customFormat="1" ht="15">
      <c r="A9" s="312" t="s">
        <v>169</v>
      </c>
      <c r="B9" s="336" t="s">
        <v>158</v>
      </c>
      <c r="C9" s="337" t="s">
        <v>180</v>
      </c>
      <c r="D9" s="320">
        <v>15</v>
      </c>
      <c r="E9" s="316">
        <f>F6/60*D9</f>
        <v>37.267499999999998</v>
      </c>
      <c r="F9" s="316">
        <f>E9*0.75</f>
        <v>27.950624999999999</v>
      </c>
    </row>
    <row r="10" spans="1:7" s="163" customFormat="1" ht="15">
      <c r="A10" s="312" t="s">
        <v>170</v>
      </c>
      <c r="B10" s="336" t="s">
        <v>159</v>
      </c>
      <c r="C10" s="337" t="s">
        <v>180</v>
      </c>
      <c r="D10" s="320">
        <v>15</v>
      </c>
      <c r="E10" s="316">
        <f>F6/60*D10</f>
        <v>37.267499999999998</v>
      </c>
      <c r="F10" s="316">
        <f t="shared" ref="F10:F53" si="0">E10*0.75</f>
        <v>27.950624999999999</v>
      </c>
    </row>
    <row r="11" spans="1:7" s="163" customFormat="1" ht="15">
      <c r="A11" s="312" t="s">
        <v>171</v>
      </c>
      <c r="B11" s="336" t="s">
        <v>160</v>
      </c>
      <c r="C11" s="337" t="s">
        <v>180</v>
      </c>
      <c r="D11" s="320">
        <v>15</v>
      </c>
      <c r="E11" s="316">
        <f>F6/60*D11</f>
        <v>37.267499999999998</v>
      </c>
      <c r="F11" s="316">
        <f t="shared" si="0"/>
        <v>27.950624999999999</v>
      </c>
    </row>
    <row r="12" spans="1:7" s="163" customFormat="1" ht="15">
      <c r="A12" s="312" t="s">
        <v>172</v>
      </c>
      <c r="B12" s="336" t="s">
        <v>161</v>
      </c>
      <c r="C12" s="337" t="s">
        <v>180</v>
      </c>
      <c r="D12" s="320">
        <v>20</v>
      </c>
      <c r="E12" s="316">
        <f>F6/60*D12</f>
        <v>49.69</v>
      </c>
      <c r="F12" s="316">
        <f t="shared" si="0"/>
        <v>37.267499999999998</v>
      </c>
    </row>
    <row r="13" spans="1:7" s="163" customFormat="1" ht="25.5">
      <c r="A13" s="312" t="s">
        <v>173</v>
      </c>
      <c r="B13" s="336" t="s">
        <v>162</v>
      </c>
      <c r="C13" s="337" t="s">
        <v>180</v>
      </c>
      <c r="D13" s="320">
        <v>20</v>
      </c>
      <c r="E13" s="316">
        <f>F6/60*D13</f>
        <v>49.69</v>
      </c>
      <c r="F13" s="316">
        <f t="shared" si="0"/>
        <v>37.267499999999998</v>
      </c>
    </row>
    <row r="14" spans="1:7" s="163" customFormat="1" ht="15">
      <c r="A14" s="312" t="s">
        <v>174</v>
      </c>
      <c r="B14" s="336" t="s">
        <v>163</v>
      </c>
      <c r="C14" s="337" t="s">
        <v>180</v>
      </c>
      <c r="D14" s="320">
        <v>15</v>
      </c>
      <c r="E14" s="316">
        <f>F6/60*D14</f>
        <v>37.267499999999998</v>
      </c>
      <c r="F14" s="316">
        <f t="shared" si="0"/>
        <v>27.950624999999999</v>
      </c>
    </row>
    <row r="15" spans="1:7" s="163" customFormat="1" ht="25.5">
      <c r="A15" s="312" t="s">
        <v>175</v>
      </c>
      <c r="B15" s="336" t="s">
        <v>164</v>
      </c>
      <c r="C15" s="337" t="s">
        <v>180</v>
      </c>
      <c r="D15" s="320">
        <v>60</v>
      </c>
      <c r="E15" s="316">
        <f>F6/60*D15</f>
        <v>149.07</v>
      </c>
      <c r="F15" s="316">
        <f t="shared" si="0"/>
        <v>111.80249999999999</v>
      </c>
    </row>
    <row r="16" spans="1:7" s="163" customFormat="1" ht="15">
      <c r="A16" s="312" t="s">
        <v>176</v>
      </c>
      <c r="B16" s="336" t="s">
        <v>165</v>
      </c>
      <c r="C16" s="337" t="s">
        <v>180</v>
      </c>
      <c r="D16" s="320">
        <v>15</v>
      </c>
      <c r="E16" s="316">
        <f>F6/60*D16</f>
        <v>37.267499999999998</v>
      </c>
      <c r="F16" s="316">
        <f t="shared" si="0"/>
        <v>27.950624999999999</v>
      </c>
    </row>
    <row r="17" spans="1:6" s="163" customFormat="1" ht="15">
      <c r="A17" s="312" t="s">
        <v>177</v>
      </c>
      <c r="B17" s="336" t="s">
        <v>166</v>
      </c>
      <c r="C17" s="337" t="s">
        <v>180</v>
      </c>
      <c r="D17" s="320">
        <v>20</v>
      </c>
      <c r="E17" s="316">
        <f>F6/60*D17</f>
        <v>49.69</v>
      </c>
      <c r="F17" s="316">
        <f t="shared" si="0"/>
        <v>37.267499999999998</v>
      </c>
    </row>
    <row r="18" spans="1:6" s="163" customFormat="1" ht="15">
      <c r="A18" s="312" t="s">
        <v>178</v>
      </c>
      <c r="B18" s="336" t="s">
        <v>167</v>
      </c>
      <c r="C18" s="337" t="s">
        <v>180</v>
      </c>
      <c r="D18" s="320">
        <v>10</v>
      </c>
      <c r="E18" s="316">
        <f>F6/60*D18</f>
        <v>24.844999999999999</v>
      </c>
      <c r="F18" s="316">
        <f t="shared" si="0"/>
        <v>18.633749999999999</v>
      </c>
    </row>
    <row r="19" spans="1:6" s="163" customFormat="1" ht="38.25">
      <c r="A19" s="312" t="s">
        <v>179</v>
      </c>
      <c r="B19" s="336" t="s">
        <v>168</v>
      </c>
      <c r="C19" s="337" t="s">
        <v>180</v>
      </c>
      <c r="D19" s="320">
        <v>20</v>
      </c>
      <c r="E19" s="316">
        <f>F6/60*D19</f>
        <v>49.69</v>
      </c>
      <c r="F19" s="316">
        <f t="shared" si="0"/>
        <v>37.267499999999998</v>
      </c>
    </row>
    <row r="20" spans="1:6" s="163" customFormat="1" ht="15.75">
      <c r="A20" s="338">
        <v>2</v>
      </c>
      <c r="B20" s="339" t="s">
        <v>181</v>
      </c>
      <c r="C20" s="338"/>
      <c r="D20" s="318"/>
      <c r="E20" s="318"/>
      <c r="F20" s="318"/>
    </row>
    <row r="21" spans="1:6" s="163" customFormat="1" ht="15">
      <c r="A21" s="312" t="s">
        <v>199</v>
      </c>
      <c r="B21" s="328" t="s">
        <v>182</v>
      </c>
      <c r="C21" s="329" t="s">
        <v>180</v>
      </c>
      <c r="D21" s="320">
        <v>24</v>
      </c>
      <c r="E21" s="316">
        <f>F6/60*D21</f>
        <v>59.627999999999993</v>
      </c>
      <c r="F21" s="316">
        <f t="shared" si="0"/>
        <v>44.720999999999997</v>
      </c>
    </row>
    <row r="22" spans="1:6" s="163" customFormat="1" ht="15">
      <c r="A22" s="400" t="s">
        <v>200</v>
      </c>
      <c r="B22" s="394" t="s">
        <v>183</v>
      </c>
      <c r="C22" s="396" t="s">
        <v>180</v>
      </c>
      <c r="D22" s="320">
        <v>84</v>
      </c>
      <c r="E22" s="316">
        <f>F6/60*D22</f>
        <v>208.69799999999998</v>
      </c>
      <c r="F22" s="316">
        <f t="shared" si="0"/>
        <v>156.52349999999998</v>
      </c>
    </row>
    <row r="23" spans="1:6" s="163" customFormat="1" ht="15">
      <c r="A23" s="401"/>
      <c r="B23" s="395"/>
      <c r="C23" s="397"/>
      <c r="D23" s="320">
        <v>60</v>
      </c>
      <c r="E23" s="316">
        <f>F6/60*D23</f>
        <v>149.07</v>
      </c>
      <c r="F23" s="316">
        <f t="shared" si="0"/>
        <v>111.80249999999999</v>
      </c>
    </row>
    <row r="24" spans="1:6" s="163" customFormat="1" ht="15">
      <c r="A24" s="401"/>
      <c r="B24" s="395"/>
      <c r="C24" s="397"/>
      <c r="D24" s="320">
        <v>40</v>
      </c>
      <c r="E24" s="316">
        <f>F6/60*D24</f>
        <v>99.38</v>
      </c>
      <c r="F24" s="316">
        <f t="shared" si="0"/>
        <v>74.534999999999997</v>
      </c>
    </row>
    <row r="25" spans="1:6" s="163" customFormat="1" ht="15">
      <c r="A25" s="401"/>
      <c r="B25" s="395"/>
      <c r="C25" s="397"/>
      <c r="D25" s="320">
        <v>20</v>
      </c>
      <c r="E25" s="316">
        <f>F6/60*D25</f>
        <v>49.69</v>
      </c>
      <c r="F25" s="316">
        <f t="shared" si="0"/>
        <v>37.267499999999998</v>
      </c>
    </row>
    <row r="26" spans="1:6" ht="75">
      <c r="A26" s="312" t="s">
        <v>201</v>
      </c>
      <c r="B26" s="328" t="s">
        <v>184</v>
      </c>
      <c r="C26" s="329" t="s">
        <v>180</v>
      </c>
      <c r="D26" s="320">
        <v>18</v>
      </c>
      <c r="E26" s="330">
        <f>F6/60*D26</f>
        <v>44.720999999999997</v>
      </c>
      <c r="F26" s="330">
        <f t="shared" si="0"/>
        <v>33.540749999999996</v>
      </c>
    </row>
    <row r="27" spans="1:6" ht="15">
      <c r="A27" s="392" t="s">
        <v>202</v>
      </c>
      <c r="B27" s="394" t="s">
        <v>185</v>
      </c>
      <c r="C27" s="396" t="s">
        <v>180</v>
      </c>
      <c r="D27" s="320">
        <v>60</v>
      </c>
      <c r="E27" s="331">
        <f>F6/60*D27</f>
        <v>149.07</v>
      </c>
      <c r="F27" s="331">
        <f t="shared" si="0"/>
        <v>111.80249999999999</v>
      </c>
    </row>
    <row r="28" spans="1:6" s="163" customFormat="1" ht="15">
      <c r="A28" s="393"/>
      <c r="B28" s="395"/>
      <c r="C28" s="397"/>
      <c r="D28" s="320">
        <v>30</v>
      </c>
      <c r="E28" s="343">
        <f>F6/60*D28</f>
        <v>74.534999999999997</v>
      </c>
      <c r="F28" s="331">
        <f t="shared" si="0"/>
        <v>55.901249999999997</v>
      </c>
    </row>
    <row r="29" spans="1:6" ht="30">
      <c r="A29" s="312" t="s">
        <v>203</v>
      </c>
      <c r="B29" s="328" t="s">
        <v>186</v>
      </c>
      <c r="C29" s="329" t="s">
        <v>180</v>
      </c>
      <c r="D29" s="320">
        <v>90</v>
      </c>
      <c r="E29" s="343">
        <f>F6/60*D29</f>
        <v>223.60499999999996</v>
      </c>
      <c r="F29" s="331">
        <f t="shared" si="0"/>
        <v>167.70374999999996</v>
      </c>
    </row>
    <row r="30" spans="1:6" ht="15">
      <c r="A30" s="400" t="s">
        <v>204</v>
      </c>
      <c r="B30" s="328" t="s">
        <v>187</v>
      </c>
      <c r="C30" s="396" t="s">
        <v>180</v>
      </c>
      <c r="D30" s="402">
        <v>18</v>
      </c>
      <c r="E30" s="404">
        <f>F6/60*D30</f>
        <v>44.720999999999997</v>
      </c>
      <c r="F30" s="404">
        <f t="shared" si="0"/>
        <v>33.540749999999996</v>
      </c>
    </row>
    <row r="31" spans="1:6" ht="15">
      <c r="A31" s="401"/>
      <c r="B31" s="328" t="s">
        <v>188</v>
      </c>
      <c r="C31" s="393"/>
      <c r="D31" s="403"/>
      <c r="E31" s="405"/>
      <c r="F31" s="405"/>
    </row>
    <row r="32" spans="1:6" ht="15">
      <c r="A32" s="401"/>
      <c r="B32" s="328" t="s">
        <v>189</v>
      </c>
      <c r="C32" s="393"/>
      <c r="D32" s="320">
        <v>42</v>
      </c>
      <c r="E32" s="331">
        <f>F6/60*D32</f>
        <v>104.34899999999999</v>
      </c>
      <c r="F32" s="331">
        <f t="shared" si="0"/>
        <v>78.261749999999992</v>
      </c>
    </row>
    <row r="33" spans="1:6" ht="15">
      <c r="A33" s="401"/>
      <c r="B33" s="328" t="s">
        <v>190</v>
      </c>
      <c r="C33" s="393"/>
      <c r="D33" s="320">
        <v>126</v>
      </c>
      <c r="E33" s="316">
        <f>F6/60*D33</f>
        <v>313.04699999999997</v>
      </c>
      <c r="F33" s="316">
        <f t="shared" si="0"/>
        <v>234.78524999999996</v>
      </c>
    </row>
    <row r="34" spans="1:6" ht="30">
      <c r="A34" s="312" t="s">
        <v>205</v>
      </c>
      <c r="B34" s="328" t="s">
        <v>191</v>
      </c>
      <c r="C34" s="329" t="s">
        <v>229</v>
      </c>
      <c r="D34" s="320">
        <v>30</v>
      </c>
      <c r="E34" s="331">
        <f>F6/60*D34</f>
        <v>74.534999999999997</v>
      </c>
      <c r="F34" s="331">
        <f t="shared" si="0"/>
        <v>55.901249999999997</v>
      </c>
    </row>
    <row r="35" spans="1:6" ht="30">
      <c r="A35" s="312" t="s">
        <v>206</v>
      </c>
      <c r="B35" s="328" t="s">
        <v>192</v>
      </c>
      <c r="C35" s="329" t="s">
        <v>230</v>
      </c>
      <c r="D35" s="320">
        <v>30</v>
      </c>
      <c r="E35" s="331">
        <f>F6/60*D35</f>
        <v>74.534999999999997</v>
      </c>
      <c r="F35" s="331">
        <f t="shared" si="0"/>
        <v>55.901249999999997</v>
      </c>
    </row>
    <row r="36" spans="1:6" ht="45">
      <c r="A36" s="312" t="s">
        <v>207</v>
      </c>
      <c r="B36" s="328" t="s">
        <v>193</v>
      </c>
      <c r="C36" s="329" t="s">
        <v>231</v>
      </c>
      <c r="D36" s="320">
        <v>30</v>
      </c>
      <c r="E36" s="331">
        <f>F6/60*D36</f>
        <v>74.534999999999997</v>
      </c>
      <c r="F36" s="331">
        <f t="shared" si="0"/>
        <v>55.901249999999997</v>
      </c>
    </row>
    <row r="37" spans="1:6" ht="45">
      <c r="A37" s="312" t="s">
        <v>208</v>
      </c>
      <c r="B37" s="328" t="s">
        <v>194</v>
      </c>
      <c r="C37" s="329" t="s">
        <v>232</v>
      </c>
      <c r="D37" s="320">
        <v>30</v>
      </c>
      <c r="E37" s="331">
        <f>F6/60*D37</f>
        <v>74.534999999999997</v>
      </c>
      <c r="F37" s="331">
        <f t="shared" si="0"/>
        <v>55.901249999999997</v>
      </c>
    </row>
    <row r="38" spans="1:6" ht="30">
      <c r="A38" s="392" t="s">
        <v>209</v>
      </c>
      <c r="B38" s="394" t="s">
        <v>195</v>
      </c>
      <c r="C38" s="329" t="s">
        <v>240</v>
      </c>
      <c r="D38" s="320">
        <v>42</v>
      </c>
      <c r="E38" s="331">
        <f>F6/60*D38</f>
        <v>104.34899999999999</v>
      </c>
      <c r="F38" s="331">
        <f t="shared" si="0"/>
        <v>78.261749999999992</v>
      </c>
    </row>
    <row r="39" spans="1:6" s="163" customFormat="1" ht="15">
      <c r="A39" s="393"/>
      <c r="B39" s="395"/>
      <c r="C39" s="329" t="s">
        <v>238</v>
      </c>
      <c r="D39" s="320">
        <v>20</v>
      </c>
      <c r="E39" s="331">
        <f>F6/60*D39</f>
        <v>49.69</v>
      </c>
      <c r="F39" s="331">
        <f t="shared" si="0"/>
        <v>37.267499999999998</v>
      </c>
    </row>
    <row r="40" spans="1:6" s="163" customFormat="1" ht="15">
      <c r="A40" s="393"/>
      <c r="B40" s="395"/>
      <c r="C40" s="329" t="s">
        <v>239</v>
      </c>
      <c r="D40" s="320">
        <v>10</v>
      </c>
      <c r="E40" s="331">
        <f>F6/60*D40</f>
        <v>24.844999999999999</v>
      </c>
      <c r="F40" s="331">
        <f t="shared" si="0"/>
        <v>18.633749999999999</v>
      </c>
    </row>
    <row r="41" spans="1:6" ht="45">
      <c r="A41" s="312" t="s">
        <v>210</v>
      </c>
      <c r="B41" s="328" t="s">
        <v>196</v>
      </c>
      <c r="C41" s="329" t="s">
        <v>229</v>
      </c>
      <c r="D41" s="320">
        <v>78</v>
      </c>
      <c r="E41" s="331">
        <f>F6/60*D41</f>
        <v>193.79099999999997</v>
      </c>
      <c r="F41" s="331">
        <f t="shared" si="0"/>
        <v>145.34324999999998</v>
      </c>
    </row>
    <row r="42" spans="1:6" ht="73.5" customHeight="1">
      <c r="A42" s="312" t="s">
        <v>211</v>
      </c>
      <c r="B42" s="328" t="s">
        <v>197</v>
      </c>
      <c r="C42" s="329" t="s">
        <v>233</v>
      </c>
      <c r="D42" s="320">
        <v>45</v>
      </c>
      <c r="E42" s="331">
        <f>F6/60*D42</f>
        <v>111.80249999999998</v>
      </c>
      <c r="F42" s="331">
        <f t="shared" si="0"/>
        <v>83.851874999999978</v>
      </c>
    </row>
    <row r="43" spans="1:6" ht="60">
      <c r="A43" s="312" t="s">
        <v>212</v>
      </c>
      <c r="B43" s="328" t="s">
        <v>198</v>
      </c>
      <c r="C43" s="329" t="s">
        <v>234</v>
      </c>
      <c r="D43" s="320">
        <v>60</v>
      </c>
      <c r="E43" s="331">
        <f>F6/60*D43</f>
        <v>149.07</v>
      </c>
      <c r="F43" s="331">
        <f t="shared" si="0"/>
        <v>111.80249999999999</v>
      </c>
    </row>
    <row r="44" spans="1:6" ht="45">
      <c r="A44" s="312" t="s">
        <v>221</v>
      </c>
      <c r="B44" s="328" t="s">
        <v>213</v>
      </c>
      <c r="C44" s="329" t="s">
        <v>235</v>
      </c>
      <c r="D44" s="320">
        <v>30</v>
      </c>
      <c r="E44" s="316">
        <f>F6/60*D44</f>
        <v>74.534999999999997</v>
      </c>
      <c r="F44" s="316">
        <f t="shared" si="0"/>
        <v>55.901249999999997</v>
      </c>
    </row>
    <row r="45" spans="1:6" ht="103.5" customHeight="1">
      <c r="A45" s="312" t="s">
        <v>222</v>
      </c>
      <c r="B45" s="328" t="s">
        <v>214</v>
      </c>
      <c r="C45" s="329" t="s">
        <v>236</v>
      </c>
      <c r="D45" s="320">
        <v>72</v>
      </c>
      <c r="E45" s="331">
        <f>F6/60*D45</f>
        <v>178.88399999999999</v>
      </c>
      <c r="F45" s="331">
        <f t="shared" si="0"/>
        <v>134.16299999999998</v>
      </c>
    </row>
    <row r="46" spans="1:6" ht="15">
      <c r="A46" s="392" t="s">
        <v>223</v>
      </c>
      <c r="B46" s="394" t="s">
        <v>215</v>
      </c>
      <c r="C46" s="396" t="s">
        <v>237</v>
      </c>
      <c r="D46" s="320">
        <v>138</v>
      </c>
      <c r="E46" s="316">
        <f>F6/60*D46</f>
        <v>342.86099999999993</v>
      </c>
      <c r="F46" s="316">
        <f t="shared" si="0"/>
        <v>257.14574999999996</v>
      </c>
    </row>
    <row r="47" spans="1:6" s="163" customFormat="1" ht="76.5" customHeight="1">
      <c r="A47" s="393"/>
      <c r="B47" s="395"/>
      <c r="C47" s="397"/>
      <c r="D47" s="320">
        <v>70</v>
      </c>
      <c r="E47" s="331">
        <f>F6/60*D47</f>
        <v>173.91499999999999</v>
      </c>
      <c r="F47" s="331">
        <f t="shared" si="0"/>
        <v>130.43625</v>
      </c>
    </row>
    <row r="48" spans="1:6" ht="15">
      <c r="A48" s="392" t="s">
        <v>224</v>
      </c>
      <c r="B48" s="394" t="s">
        <v>216</v>
      </c>
      <c r="C48" s="396" t="s">
        <v>229</v>
      </c>
      <c r="D48" s="320">
        <v>240</v>
      </c>
      <c r="E48" s="316">
        <f>F6/60*D48</f>
        <v>596.28</v>
      </c>
      <c r="F48" s="316">
        <f t="shared" si="0"/>
        <v>447.21</v>
      </c>
    </row>
    <row r="49" spans="1:6" s="163" customFormat="1" ht="51.75" customHeight="1">
      <c r="A49" s="393"/>
      <c r="B49" s="395"/>
      <c r="C49" s="397"/>
      <c r="D49" s="320">
        <v>120</v>
      </c>
      <c r="E49" s="316">
        <f>F6/60*D49</f>
        <v>298.14</v>
      </c>
      <c r="F49" s="316">
        <f t="shared" si="0"/>
        <v>223.60499999999999</v>
      </c>
    </row>
    <row r="50" spans="1:6" ht="90">
      <c r="A50" s="312" t="s">
        <v>225</v>
      </c>
      <c r="B50" s="328" t="s">
        <v>217</v>
      </c>
      <c r="C50" s="329" t="s">
        <v>229</v>
      </c>
      <c r="D50" s="320">
        <v>15</v>
      </c>
      <c r="E50" s="331">
        <f>F6/60*D50</f>
        <v>37.267499999999998</v>
      </c>
      <c r="F50" s="331">
        <f t="shared" si="0"/>
        <v>27.950624999999999</v>
      </c>
    </row>
    <row r="51" spans="1:6" ht="60">
      <c r="A51" s="340" t="s">
        <v>226</v>
      </c>
      <c r="B51" s="317" t="s">
        <v>218</v>
      </c>
      <c r="C51" s="341" t="s">
        <v>229</v>
      </c>
      <c r="D51" s="319">
        <v>30</v>
      </c>
      <c r="E51" s="342">
        <f>F6/60*D51</f>
        <v>74.534999999999997</v>
      </c>
      <c r="F51" s="342">
        <f t="shared" si="0"/>
        <v>55.901249999999997</v>
      </c>
    </row>
    <row r="52" spans="1:6" ht="60">
      <c r="A52" s="312" t="s">
        <v>227</v>
      </c>
      <c r="B52" s="328" t="s">
        <v>219</v>
      </c>
      <c r="C52" s="329" t="s">
        <v>229</v>
      </c>
      <c r="D52" s="320">
        <v>20</v>
      </c>
      <c r="E52" s="332">
        <f>F6/60*D52</f>
        <v>49.69</v>
      </c>
      <c r="F52" s="332">
        <f t="shared" si="0"/>
        <v>37.267499999999998</v>
      </c>
    </row>
    <row r="53" spans="1:6" ht="30">
      <c r="A53" s="312" t="s">
        <v>228</v>
      </c>
      <c r="B53" s="328" t="s">
        <v>220</v>
      </c>
      <c r="C53" s="329" t="s">
        <v>229</v>
      </c>
      <c r="D53" s="320">
        <v>20</v>
      </c>
      <c r="E53" s="332">
        <f>F6/60*D53</f>
        <v>49.69</v>
      </c>
      <c r="F53" s="332">
        <f t="shared" si="0"/>
        <v>37.267499999999998</v>
      </c>
    </row>
    <row r="54" spans="1:6" ht="43.5" customHeight="1">
      <c r="A54" s="408" t="s">
        <v>281</v>
      </c>
      <c r="B54" s="409"/>
      <c r="C54" s="409"/>
      <c r="D54" s="409"/>
      <c r="E54" s="409"/>
      <c r="F54" s="410"/>
    </row>
    <row r="55" spans="1:6" ht="63.75">
      <c r="A55" s="322" t="s">
        <v>151</v>
      </c>
      <c r="B55" s="380" t="s">
        <v>152</v>
      </c>
      <c r="C55" s="380" t="s">
        <v>153</v>
      </c>
      <c r="D55" s="324" t="s">
        <v>154</v>
      </c>
      <c r="E55" s="380" t="s">
        <v>155</v>
      </c>
      <c r="F55" s="324" t="s">
        <v>156</v>
      </c>
    </row>
    <row r="56" spans="1:6" ht="33.75" customHeight="1">
      <c r="A56" s="411" t="s">
        <v>284</v>
      </c>
      <c r="B56" s="412"/>
      <c r="C56" s="412"/>
      <c r="D56" s="412"/>
      <c r="E56" s="412"/>
      <c r="F56" s="412"/>
    </row>
    <row r="57" spans="1:6" s="163" customFormat="1" ht="18" customHeight="1">
      <c r="A57" s="344"/>
      <c r="B57" s="345"/>
      <c r="C57" s="345"/>
      <c r="D57" s="345"/>
      <c r="E57" s="345"/>
      <c r="F57" s="373">
        <v>54.19</v>
      </c>
    </row>
    <row r="58" spans="1:6" ht="15.75">
      <c r="A58" s="312" t="s">
        <v>169</v>
      </c>
      <c r="B58" s="325" t="s">
        <v>241</v>
      </c>
      <c r="C58" s="325"/>
      <c r="D58" s="326"/>
      <c r="E58" s="311"/>
      <c r="F58" s="311"/>
    </row>
    <row r="59" spans="1:6" ht="15.75">
      <c r="A59" s="311"/>
      <c r="B59" s="325" t="s">
        <v>242</v>
      </c>
      <c r="C59" s="325" t="s">
        <v>254</v>
      </c>
      <c r="D59" s="326">
        <v>25</v>
      </c>
      <c r="E59" s="315">
        <f>F57/60*D59</f>
        <v>22.579166666666666</v>
      </c>
      <c r="F59" s="315">
        <f>E59*0.75</f>
        <v>16.934374999999999</v>
      </c>
    </row>
    <row r="60" spans="1:6" ht="15.75">
      <c r="A60" s="311"/>
      <c r="B60" s="325" t="s">
        <v>243</v>
      </c>
      <c r="C60" s="325" t="s">
        <v>254</v>
      </c>
      <c r="D60" s="326">
        <v>30</v>
      </c>
      <c r="E60" s="315">
        <f>F57/60*D60</f>
        <v>27.094999999999999</v>
      </c>
      <c r="F60" s="315">
        <f t="shared" ref="F60:F68" si="1">E60*0.75</f>
        <v>20.321249999999999</v>
      </c>
    </row>
    <row r="61" spans="1:6" ht="15.75">
      <c r="A61" s="311"/>
      <c r="B61" s="325" t="s">
        <v>244</v>
      </c>
      <c r="C61" s="325" t="s">
        <v>254</v>
      </c>
      <c r="D61" s="326">
        <v>30</v>
      </c>
      <c r="E61" s="315">
        <f>F57/60*D61</f>
        <v>27.094999999999999</v>
      </c>
      <c r="F61" s="315">
        <f t="shared" si="1"/>
        <v>20.321249999999999</v>
      </c>
    </row>
    <row r="62" spans="1:6" ht="15.75">
      <c r="A62" s="311"/>
      <c r="B62" s="325" t="s">
        <v>245</v>
      </c>
      <c r="C62" s="325" t="s">
        <v>254</v>
      </c>
      <c r="D62" s="326">
        <v>20</v>
      </c>
      <c r="E62" s="315">
        <f>F57/60*D62</f>
        <v>18.063333333333333</v>
      </c>
      <c r="F62" s="315">
        <f t="shared" si="1"/>
        <v>13.547499999999999</v>
      </c>
    </row>
    <row r="63" spans="1:6" ht="31.5">
      <c r="A63" s="312" t="s">
        <v>170</v>
      </c>
      <c r="B63" s="325" t="s">
        <v>246</v>
      </c>
      <c r="C63" s="325" t="s">
        <v>254</v>
      </c>
      <c r="D63" s="326">
        <v>35</v>
      </c>
      <c r="E63" s="315">
        <f>F57/60*D63</f>
        <v>31.610833333333332</v>
      </c>
      <c r="F63" s="315">
        <f t="shared" si="1"/>
        <v>23.708124999999999</v>
      </c>
    </row>
    <row r="64" spans="1:6" ht="15.75">
      <c r="A64" s="312" t="s">
        <v>171</v>
      </c>
      <c r="B64" s="325" t="s">
        <v>247</v>
      </c>
      <c r="C64" s="325" t="s">
        <v>254</v>
      </c>
      <c r="D64" s="326">
        <v>40</v>
      </c>
      <c r="E64" s="315">
        <f>F57/60*D64</f>
        <v>36.126666666666665</v>
      </c>
      <c r="F64" s="315">
        <f t="shared" si="1"/>
        <v>27.094999999999999</v>
      </c>
    </row>
    <row r="65" spans="1:6" ht="15.75">
      <c r="A65" s="312" t="s">
        <v>172</v>
      </c>
      <c r="B65" s="325" t="s">
        <v>248</v>
      </c>
      <c r="C65" s="325" t="s">
        <v>254</v>
      </c>
      <c r="D65" s="326">
        <v>40</v>
      </c>
      <c r="E65" s="315">
        <f>F57/60*D65</f>
        <v>36.126666666666665</v>
      </c>
      <c r="F65" s="315">
        <f t="shared" si="1"/>
        <v>27.094999999999999</v>
      </c>
    </row>
    <row r="66" spans="1:6" ht="15.75">
      <c r="A66" s="312" t="s">
        <v>173</v>
      </c>
      <c r="B66" s="325" t="s">
        <v>249</v>
      </c>
      <c r="C66" s="325" t="s">
        <v>255</v>
      </c>
      <c r="D66" s="326">
        <v>15</v>
      </c>
      <c r="E66" s="315">
        <f>F57/60*D66</f>
        <v>13.547499999999999</v>
      </c>
      <c r="F66" s="315">
        <f t="shared" si="1"/>
        <v>10.160625</v>
      </c>
    </row>
    <row r="67" spans="1:6" ht="15.75">
      <c r="A67" s="312" t="s">
        <v>174</v>
      </c>
      <c r="B67" s="325" t="s">
        <v>250</v>
      </c>
      <c r="C67" s="325" t="s">
        <v>254</v>
      </c>
      <c r="D67" s="326">
        <v>30</v>
      </c>
      <c r="E67" s="315">
        <f>F57/60*D67</f>
        <v>27.094999999999999</v>
      </c>
      <c r="F67" s="315">
        <f t="shared" si="1"/>
        <v>20.321249999999999</v>
      </c>
    </row>
    <row r="68" spans="1:6" ht="15.75">
      <c r="A68" s="312" t="s">
        <v>175</v>
      </c>
      <c r="B68" s="325" t="s">
        <v>251</v>
      </c>
      <c r="C68" s="325" t="s">
        <v>254</v>
      </c>
      <c r="D68" s="326">
        <v>60</v>
      </c>
      <c r="E68" s="315">
        <f>F57/60*D68</f>
        <v>54.19</v>
      </c>
      <c r="F68" s="315">
        <f t="shared" si="1"/>
        <v>40.642499999999998</v>
      </c>
    </row>
    <row r="69" spans="1:6" ht="31.5">
      <c r="A69" s="312" t="s">
        <v>176</v>
      </c>
      <c r="B69" s="325" t="s">
        <v>252</v>
      </c>
      <c r="C69" s="325"/>
      <c r="D69" s="326"/>
      <c r="E69" s="315"/>
      <c r="F69" s="315"/>
    </row>
    <row r="70" spans="1:6" ht="21.75" customHeight="1">
      <c r="A70" s="312"/>
      <c r="B70" s="325" t="s">
        <v>253</v>
      </c>
      <c r="C70" s="325" t="s">
        <v>254</v>
      </c>
      <c r="D70" s="326">
        <v>60</v>
      </c>
      <c r="E70" s="315">
        <f>F57/60*D70</f>
        <v>54.19</v>
      </c>
      <c r="F70" s="315">
        <f t="shared" ref="F70:F75" si="2">E70*0.75</f>
        <v>40.642499999999998</v>
      </c>
    </row>
    <row r="71" spans="1:6" s="163" customFormat="1" ht="21.75" customHeight="1">
      <c r="A71" s="312"/>
      <c r="B71" s="325" t="s">
        <v>258</v>
      </c>
      <c r="C71" s="325" t="s">
        <v>254</v>
      </c>
      <c r="D71" s="326">
        <v>75</v>
      </c>
      <c r="E71" s="315">
        <f>F57/60*D71</f>
        <v>67.737499999999997</v>
      </c>
      <c r="F71" s="315">
        <f t="shared" si="2"/>
        <v>50.803124999999994</v>
      </c>
    </row>
    <row r="72" spans="1:6" s="163" customFormat="1" ht="21.75" customHeight="1">
      <c r="A72" s="312"/>
      <c r="B72" s="325" t="s">
        <v>259</v>
      </c>
      <c r="C72" s="325" t="s">
        <v>254</v>
      </c>
      <c r="D72" s="326">
        <v>55</v>
      </c>
      <c r="E72" s="315">
        <f>F57/60*D72</f>
        <v>49.674166666666665</v>
      </c>
      <c r="F72" s="315">
        <f t="shared" si="2"/>
        <v>37.255624999999995</v>
      </c>
    </row>
    <row r="73" spans="1:6" s="163" customFormat="1" ht="21.75" hidden="1" customHeight="1" thickBot="1">
      <c r="A73" s="312"/>
      <c r="B73" s="325"/>
      <c r="C73" s="325"/>
      <c r="D73" s="326"/>
      <c r="E73" s="315">
        <f t="shared" ref="E73" si="3">54.19/60*D73</f>
        <v>0</v>
      </c>
      <c r="F73" s="315">
        <f t="shared" si="2"/>
        <v>0</v>
      </c>
    </row>
    <row r="74" spans="1:6" ht="15.75">
      <c r="A74" s="312" t="s">
        <v>177</v>
      </c>
      <c r="B74" s="325" t="s">
        <v>163</v>
      </c>
      <c r="C74" s="325" t="s">
        <v>254</v>
      </c>
      <c r="D74" s="326">
        <v>15</v>
      </c>
      <c r="E74" s="315">
        <f>F57/60*D74</f>
        <v>13.547499999999999</v>
      </c>
      <c r="F74" s="315">
        <f t="shared" si="2"/>
        <v>10.160625</v>
      </c>
    </row>
    <row r="75" spans="1:6" ht="15.75">
      <c r="A75" s="382" t="s">
        <v>178</v>
      </c>
      <c r="B75" s="383" t="s">
        <v>256</v>
      </c>
      <c r="C75" s="383" t="s">
        <v>257</v>
      </c>
      <c r="D75" s="384">
        <v>90</v>
      </c>
      <c r="E75" s="385">
        <f>F57/60*D75</f>
        <v>81.284999999999997</v>
      </c>
      <c r="F75" s="385">
        <f t="shared" si="2"/>
        <v>60.963749999999997</v>
      </c>
    </row>
    <row r="76" spans="1:6" ht="42.6" customHeight="1">
      <c r="A76" s="386" t="s">
        <v>285</v>
      </c>
      <c r="B76" s="387"/>
      <c r="C76" s="387"/>
      <c r="D76" s="387"/>
      <c r="E76" s="387"/>
      <c r="F76" s="388"/>
    </row>
    <row r="77" spans="1:6" s="163" customFormat="1" ht="14.25" customHeight="1">
      <c r="A77" s="389">
        <v>187.97</v>
      </c>
      <c r="B77" s="390"/>
      <c r="C77" s="390"/>
      <c r="D77" s="390"/>
      <c r="E77" s="390"/>
      <c r="F77" s="391"/>
    </row>
    <row r="78" spans="1:6" ht="31.5">
      <c r="A78" s="312" t="s">
        <v>199</v>
      </c>
      <c r="B78" s="325" t="s">
        <v>260</v>
      </c>
      <c r="C78" s="325" t="s">
        <v>254</v>
      </c>
      <c r="D78" s="326">
        <v>138</v>
      </c>
      <c r="E78" s="332">
        <f>A77/60*D78</f>
        <v>432.33099999999996</v>
      </c>
      <c r="F78" s="332">
        <f>E78*0.75</f>
        <v>324.24824999999998</v>
      </c>
    </row>
    <row r="79" spans="1:6" ht="31.5">
      <c r="A79" s="312" t="s">
        <v>200</v>
      </c>
      <c r="B79" s="325" t="s">
        <v>261</v>
      </c>
      <c r="C79" s="325" t="s">
        <v>254</v>
      </c>
      <c r="D79" s="326">
        <v>60</v>
      </c>
      <c r="E79" s="332">
        <f>A77/60*D79</f>
        <v>187.97</v>
      </c>
      <c r="F79" s="332">
        <f t="shared" ref="F79:F83" si="4">E79*0.75</f>
        <v>140.97749999999999</v>
      </c>
    </row>
    <row r="80" spans="1:6" s="163" customFormat="1" ht="31.5">
      <c r="A80" s="374" t="s">
        <v>201</v>
      </c>
      <c r="B80" s="325" t="s">
        <v>279</v>
      </c>
      <c r="C80" s="325" t="s">
        <v>254</v>
      </c>
      <c r="D80" s="326">
        <v>55</v>
      </c>
      <c r="E80" s="332">
        <f>D80/60*A77</f>
        <v>172.30583333333334</v>
      </c>
      <c r="F80" s="332">
        <f t="shared" ref="F80" si="5">E80*0.75</f>
        <v>129.229375</v>
      </c>
    </row>
    <row r="81" spans="1:6" ht="31.5">
      <c r="A81" s="312" t="s">
        <v>202</v>
      </c>
      <c r="B81" s="325" t="s">
        <v>280</v>
      </c>
      <c r="C81" s="325" t="s">
        <v>254</v>
      </c>
      <c r="D81" s="326">
        <v>45</v>
      </c>
      <c r="E81" s="332">
        <f>D81/60*A77</f>
        <v>140.97749999999999</v>
      </c>
      <c r="F81" s="332">
        <f t="shared" si="4"/>
        <v>105.733125</v>
      </c>
    </row>
    <row r="82" spans="1:6" ht="63">
      <c r="A82" s="392" t="s">
        <v>203</v>
      </c>
      <c r="B82" s="325" t="s">
        <v>262</v>
      </c>
      <c r="C82" s="325"/>
      <c r="D82" s="326"/>
      <c r="E82" s="311"/>
      <c r="F82" s="311"/>
    </row>
    <row r="83" spans="1:6" ht="15.75">
      <c r="A83" s="393"/>
      <c r="B83" s="325" t="s">
        <v>263</v>
      </c>
      <c r="C83" s="325" t="s">
        <v>254</v>
      </c>
      <c r="D83" s="326">
        <v>60</v>
      </c>
      <c r="E83" s="332">
        <f>A77/60*D83</f>
        <v>187.97</v>
      </c>
      <c r="F83" s="332">
        <f t="shared" si="4"/>
        <v>140.97749999999999</v>
      </c>
    </row>
    <row r="84" spans="1:6" ht="15.75">
      <c r="A84" s="393"/>
      <c r="B84" s="325" t="s">
        <v>264</v>
      </c>
      <c r="C84" s="325" t="s">
        <v>254</v>
      </c>
      <c r="D84" s="327">
        <v>50</v>
      </c>
      <c r="E84" s="332">
        <f>A77/60*D84</f>
        <v>156.64166666666665</v>
      </c>
      <c r="F84" s="332">
        <f t="shared" ref="F84:F91" si="6">E84*0.75</f>
        <v>117.48124999999999</v>
      </c>
    </row>
    <row r="85" spans="1:6" ht="15.75">
      <c r="A85" s="393"/>
      <c r="B85" s="325" t="s">
        <v>265</v>
      </c>
      <c r="C85" s="325" t="s">
        <v>254</v>
      </c>
      <c r="D85" s="327">
        <v>60</v>
      </c>
      <c r="E85" s="332">
        <f>A77/60*D85</f>
        <v>187.97</v>
      </c>
      <c r="F85" s="332">
        <f t="shared" si="6"/>
        <v>140.97749999999999</v>
      </c>
    </row>
    <row r="86" spans="1:6" ht="15.75">
      <c r="A86" s="393"/>
      <c r="B86" s="325" t="s">
        <v>266</v>
      </c>
      <c r="C86" s="325" t="s">
        <v>254</v>
      </c>
      <c r="D86" s="327">
        <v>30</v>
      </c>
      <c r="E86" s="332">
        <f>A77/60*D86</f>
        <v>93.984999999999999</v>
      </c>
      <c r="F86" s="332">
        <f t="shared" si="6"/>
        <v>70.488749999999996</v>
      </c>
    </row>
    <row r="87" spans="1:6" ht="15.75">
      <c r="A87" s="393"/>
      <c r="B87" s="325" t="s">
        <v>267</v>
      </c>
      <c r="C87" s="325" t="s">
        <v>254</v>
      </c>
      <c r="D87" s="327">
        <v>120</v>
      </c>
      <c r="E87" s="332">
        <f>A77/60*D87</f>
        <v>375.94</v>
      </c>
      <c r="F87" s="332">
        <f t="shared" si="6"/>
        <v>281.95499999999998</v>
      </c>
    </row>
    <row r="88" spans="1:6" ht="31.5">
      <c r="A88" s="393"/>
      <c r="B88" s="325" t="s">
        <v>268</v>
      </c>
      <c r="C88" s="325" t="s">
        <v>254</v>
      </c>
      <c r="D88" s="327">
        <v>30</v>
      </c>
      <c r="E88" s="332">
        <f>A77/60*D88</f>
        <v>93.984999999999999</v>
      </c>
      <c r="F88" s="332">
        <f t="shared" si="6"/>
        <v>70.488749999999996</v>
      </c>
    </row>
    <row r="89" spans="1:6" ht="47.25">
      <c r="A89" s="393"/>
      <c r="B89" s="325" t="s">
        <v>269</v>
      </c>
      <c r="C89" s="325" t="s">
        <v>254</v>
      </c>
      <c r="D89" s="327">
        <v>30</v>
      </c>
      <c r="E89" s="332">
        <f>A77/60*D89</f>
        <v>93.984999999999999</v>
      </c>
      <c r="F89" s="332">
        <f t="shared" si="6"/>
        <v>70.488749999999996</v>
      </c>
    </row>
    <row r="90" spans="1:6" ht="15.75">
      <c r="A90" s="312" t="s">
        <v>204</v>
      </c>
      <c r="B90" s="325" t="s">
        <v>270</v>
      </c>
      <c r="C90" s="325" t="s">
        <v>254</v>
      </c>
      <c r="D90" s="326">
        <v>30</v>
      </c>
      <c r="E90" s="332">
        <f>A77/60*D90</f>
        <v>93.984999999999999</v>
      </c>
      <c r="F90" s="332">
        <f t="shared" si="6"/>
        <v>70.488749999999996</v>
      </c>
    </row>
    <row r="91" spans="1:6" ht="31.5">
      <c r="A91" s="312" t="s">
        <v>205</v>
      </c>
      <c r="B91" s="325" t="s">
        <v>271</v>
      </c>
      <c r="C91" s="325" t="s">
        <v>254</v>
      </c>
      <c r="D91" s="326">
        <v>60</v>
      </c>
      <c r="E91" s="332">
        <f>A77/60*D91</f>
        <v>187.97</v>
      </c>
      <c r="F91" s="332">
        <f t="shared" si="6"/>
        <v>140.97749999999999</v>
      </c>
    </row>
  </sheetData>
  <mergeCells count="28">
    <mergeCell ref="C1:F1"/>
    <mergeCell ref="A82:A89"/>
    <mergeCell ref="A2:G2"/>
    <mergeCell ref="A22:A25"/>
    <mergeCell ref="B22:B25"/>
    <mergeCell ref="C22:C25"/>
    <mergeCell ref="B27:B28"/>
    <mergeCell ref="A27:A28"/>
    <mergeCell ref="C27:C28"/>
    <mergeCell ref="A54:F54"/>
    <mergeCell ref="A56:F56"/>
    <mergeCell ref="A38:A40"/>
    <mergeCell ref="B38:B40"/>
    <mergeCell ref="C46:C47"/>
    <mergeCell ref="B46:B47"/>
    <mergeCell ref="A3:G3"/>
    <mergeCell ref="A5:G5"/>
    <mergeCell ref="A30:A33"/>
    <mergeCell ref="C30:C33"/>
    <mergeCell ref="D30:D31"/>
    <mergeCell ref="E30:E31"/>
    <mergeCell ref="F30:F31"/>
    <mergeCell ref="A76:F76"/>
    <mergeCell ref="A77:F77"/>
    <mergeCell ref="A46:A47"/>
    <mergeCell ref="A48:A49"/>
    <mergeCell ref="B48:B49"/>
    <mergeCell ref="C48:C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11.7109375" customWidth="1"/>
    <col min="3" max="3" width="14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3.5" customHeight="1">
      <c r="A1" s="1" t="s">
        <v>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1" t="s">
        <v>120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4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5" t="s">
        <v>6</v>
      </c>
      <c r="B4" s="6">
        <v>251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7" t="s">
        <v>7</v>
      </c>
      <c r="B5" s="8">
        <v>4</v>
      </c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9" t="s">
        <v>121</v>
      </c>
      <c r="B6" s="8">
        <v>10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12" t="s">
        <v>8</v>
      </c>
      <c r="B7" s="13">
        <v>12</v>
      </c>
      <c r="C7" s="10"/>
      <c r="D7" s="10"/>
      <c r="E7" s="14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3.5" customHeight="1">
      <c r="A10" s="18" t="s">
        <v>11</v>
      </c>
      <c r="B10" s="19" t="s">
        <v>12</v>
      </c>
      <c r="C10" s="19" t="s">
        <v>13</v>
      </c>
      <c r="D10" s="20" t="s">
        <v>14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customHeight="1">
      <c r="A11" s="9" t="s">
        <v>15</v>
      </c>
      <c r="B11" s="21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>
      <c r="A12" s="24" t="s">
        <v>16</v>
      </c>
      <c r="B12" s="25">
        <f>B13+B32</f>
        <v>4209.6666666666661</v>
      </c>
      <c r="C12" s="25"/>
      <c r="D12" s="26">
        <f>D13+D32</f>
        <v>50516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5" customHeight="1">
      <c r="A13" s="28" t="s">
        <v>17</v>
      </c>
      <c r="B13" s="29">
        <f>B14+B20+B27</f>
        <v>3028.9166666666665</v>
      </c>
      <c r="C13" s="29"/>
      <c r="D13" s="30">
        <f>D14+D20+D27</f>
        <v>36347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5" customHeight="1">
      <c r="A14" s="31" t="s">
        <v>18</v>
      </c>
      <c r="B14" s="32">
        <f>SUM(B15:B19)</f>
        <v>0</v>
      </c>
      <c r="C14" s="32"/>
      <c r="D14" s="33">
        <f>SUM(D15:D19)</f>
        <v>0</v>
      </c>
      <c r="E14" s="34"/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3.5" customHeight="1">
      <c r="A15" s="36"/>
      <c r="B15" s="37"/>
      <c r="C15" s="38">
        <f t="shared" ref="C15:C19" si="0">$B$7</f>
        <v>12</v>
      </c>
      <c r="D15" s="39">
        <f t="shared" ref="D15:D19" si="1">B15*C15</f>
        <v>0</v>
      </c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customHeight="1">
      <c r="A16" s="36"/>
      <c r="B16" s="37"/>
      <c r="C16" s="38">
        <f t="shared" si="0"/>
        <v>12</v>
      </c>
      <c r="D16" s="39">
        <f t="shared" si="1"/>
        <v>0</v>
      </c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>
      <c r="A17" s="36"/>
      <c r="B17" s="37"/>
      <c r="C17" s="38">
        <f t="shared" si="0"/>
        <v>12</v>
      </c>
      <c r="D17" s="39">
        <f t="shared" si="1"/>
        <v>0</v>
      </c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>
      <c r="A18" s="36"/>
      <c r="B18" s="37"/>
      <c r="C18" s="38">
        <f t="shared" si="0"/>
        <v>12</v>
      </c>
      <c r="D18" s="39">
        <f t="shared" si="1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5" customHeight="1">
      <c r="A19" s="36"/>
      <c r="B19" s="37"/>
      <c r="C19" s="38">
        <f t="shared" si="0"/>
        <v>12</v>
      </c>
      <c r="D19" s="39">
        <f t="shared" si="1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31" t="s">
        <v>20</v>
      </c>
      <c r="B20" s="32">
        <f>SUM(B21:B26)</f>
        <v>0</v>
      </c>
      <c r="C20" s="32"/>
      <c r="D20" s="33">
        <f>SUM(D21:D26)</f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3.5" customHeight="1">
      <c r="A21" s="36"/>
      <c r="B21" s="37"/>
      <c r="C21" s="38">
        <f t="shared" ref="C21:C26" si="2">$B$7</f>
        <v>12</v>
      </c>
      <c r="D21" s="39">
        <f t="shared" ref="D21:D26" si="3">B21*C21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3.5" customHeight="1">
      <c r="A22" s="36"/>
      <c r="B22" s="37"/>
      <c r="C22" s="38">
        <f t="shared" si="2"/>
        <v>12</v>
      </c>
      <c r="D22" s="39">
        <f t="shared" si="3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3.5" customHeight="1">
      <c r="A23" s="36"/>
      <c r="B23" s="37"/>
      <c r="C23" s="38">
        <f t="shared" si="2"/>
        <v>12</v>
      </c>
      <c r="D23" s="39">
        <f t="shared" si="3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customHeight="1">
      <c r="A24" s="36"/>
      <c r="B24" s="37"/>
      <c r="C24" s="38">
        <f t="shared" si="2"/>
        <v>12</v>
      </c>
      <c r="D24" s="39">
        <f t="shared" si="3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3.5" customHeight="1">
      <c r="A25" s="36"/>
      <c r="B25" s="37"/>
      <c r="C25" s="38">
        <f t="shared" si="2"/>
        <v>12</v>
      </c>
      <c r="D25" s="39">
        <f t="shared" si="3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3.5" customHeight="1">
      <c r="A26" s="36"/>
      <c r="B26" s="37"/>
      <c r="C26" s="38">
        <f t="shared" si="2"/>
        <v>12</v>
      </c>
      <c r="D26" s="39">
        <f t="shared" si="3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.5" customHeight="1">
      <c r="A27" s="31" t="s">
        <v>122</v>
      </c>
      <c r="B27" s="33">
        <f>SUM(B28:B31)</f>
        <v>3028.9166666666665</v>
      </c>
      <c r="C27" s="33"/>
      <c r="D27" s="33">
        <f>SUM(D28:D31)</f>
        <v>36347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3.5" customHeight="1">
      <c r="A28" s="36" t="s">
        <v>123</v>
      </c>
      <c r="B28" s="37">
        <f>MAX(3826*1.5,4723)*50%</f>
        <v>2869.5</v>
      </c>
      <c r="C28" s="38">
        <f t="shared" ref="C28:C31" si="4">$B$7</f>
        <v>12</v>
      </c>
      <c r="D28" s="39">
        <f t="shared" ref="D28:D31" si="5">B28*C28</f>
        <v>34434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3.5" customHeight="1">
      <c r="A29" s="36" t="s">
        <v>19</v>
      </c>
      <c r="B29" s="37">
        <f>(3826*50%)/12</f>
        <v>159.41666666666666</v>
      </c>
      <c r="C29" s="38">
        <f t="shared" si="4"/>
        <v>12</v>
      </c>
      <c r="D29" s="39">
        <f t="shared" si="5"/>
        <v>1913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3.5" customHeight="1">
      <c r="A30" s="36"/>
      <c r="B30" s="37"/>
      <c r="C30" s="38">
        <f t="shared" si="4"/>
        <v>12</v>
      </c>
      <c r="D30" s="39">
        <f t="shared" si="5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3.5" customHeight="1">
      <c r="A31" s="36"/>
      <c r="B31" s="37"/>
      <c r="C31" s="38">
        <f t="shared" si="4"/>
        <v>12</v>
      </c>
      <c r="D31" s="39">
        <f t="shared" si="5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3.5" customHeight="1">
      <c r="A32" s="28" t="s">
        <v>22</v>
      </c>
      <c r="B32" s="29">
        <f>SUM(B33:B35)</f>
        <v>1180.75</v>
      </c>
      <c r="C32" s="29"/>
      <c r="D32" s="29">
        <f>SUM(D33:D35)</f>
        <v>14169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customHeight="1">
      <c r="A33" s="36" t="s">
        <v>124</v>
      </c>
      <c r="B33" s="37">
        <f>MAX(3636,4723)*25%</f>
        <v>1180.75</v>
      </c>
      <c r="C33" s="38">
        <f t="shared" ref="C33:C35" si="6">$B$7</f>
        <v>12</v>
      </c>
      <c r="D33" s="39">
        <f t="shared" ref="D33:D35" si="7">B33*C33</f>
        <v>14169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customHeight="1">
      <c r="A34" s="36"/>
      <c r="B34" s="37"/>
      <c r="C34" s="38">
        <f t="shared" si="6"/>
        <v>12</v>
      </c>
      <c r="D34" s="39">
        <f t="shared" si="7"/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>
      <c r="A35" s="36"/>
      <c r="B35" s="37"/>
      <c r="C35" s="38">
        <f t="shared" si="6"/>
        <v>12</v>
      </c>
      <c r="D35" s="39">
        <f t="shared" si="7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3.5" customHeight="1">
      <c r="A36" s="24" t="s">
        <v>23</v>
      </c>
      <c r="B36" s="25">
        <f>B13+B32</f>
        <v>4209.6666666666661</v>
      </c>
      <c r="C36" s="25"/>
      <c r="D36" s="26">
        <f>D13+D32</f>
        <v>50516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.5" customHeight="1">
      <c r="A37" s="7" t="s">
        <v>125</v>
      </c>
      <c r="B37" s="41">
        <f>B36*0.22</f>
        <v>926.12666666666655</v>
      </c>
      <c r="C37" s="38">
        <f>$B$7</f>
        <v>12</v>
      </c>
      <c r="D37" s="39">
        <f>B37*C37</f>
        <v>11113.519999999999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42" t="s">
        <v>25</v>
      </c>
      <c r="B38" s="43">
        <f>SUM(B36:B37)</f>
        <v>5135.7933333333331</v>
      </c>
      <c r="C38" s="43"/>
      <c r="D38" s="44">
        <f>SUM(D36:D37)</f>
        <v>61629.52</v>
      </c>
      <c r="E38" s="11"/>
      <c r="F38" s="4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.5" customHeight="1">
      <c r="A39" s="4"/>
      <c r="B39" s="45"/>
      <c r="C39" s="45"/>
      <c r="D39" s="46"/>
      <c r="E39" s="46"/>
      <c r="F39" s="4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>
      <c r="A40" s="15" t="s">
        <v>26</v>
      </c>
      <c r="B40" s="47"/>
      <c r="C40" s="48"/>
      <c r="D40" s="4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>
      <c r="A41" s="18" t="s">
        <v>27</v>
      </c>
      <c r="B41" s="19" t="s">
        <v>28</v>
      </c>
      <c r="C41" s="19" t="s">
        <v>29</v>
      </c>
      <c r="D41" s="20" t="s">
        <v>30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5" customHeight="1">
      <c r="A42" s="50" t="s">
        <v>31</v>
      </c>
      <c r="B42" s="51"/>
      <c r="C42" s="51"/>
      <c r="D42" s="52">
        <f>SUM(D43:D49)</f>
        <v>5500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>
      <c r="A43" s="36" t="s">
        <v>126</v>
      </c>
      <c r="B43" s="37">
        <v>500</v>
      </c>
      <c r="C43" s="53">
        <v>1</v>
      </c>
      <c r="D43" s="39">
        <f t="shared" ref="D43:D49" si="8">B43*C43</f>
        <v>500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.5" customHeight="1">
      <c r="A44" s="36" t="s">
        <v>127</v>
      </c>
      <c r="B44" s="37">
        <v>5000</v>
      </c>
      <c r="C44" s="53">
        <v>1</v>
      </c>
      <c r="D44" s="39">
        <f t="shared" si="8"/>
        <v>5000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>
      <c r="A45" s="36"/>
      <c r="B45" s="37"/>
      <c r="C45" s="53"/>
      <c r="D45" s="39">
        <f t="shared" si="8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5" customHeight="1">
      <c r="A46" s="36"/>
      <c r="B46" s="37"/>
      <c r="C46" s="53"/>
      <c r="D46" s="39">
        <f t="shared" si="8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>
      <c r="A47" s="36"/>
      <c r="B47" s="37"/>
      <c r="C47" s="53"/>
      <c r="D47" s="39">
        <f t="shared" si="8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5" customHeight="1">
      <c r="A48" s="36"/>
      <c r="B48" s="37"/>
      <c r="C48" s="53"/>
      <c r="D48" s="39">
        <f t="shared" si="8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5" customHeight="1">
      <c r="A49" s="36"/>
      <c r="B49" s="37"/>
      <c r="C49" s="53"/>
      <c r="D49" s="39">
        <f t="shared" si="8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5" customHeight="1">
      <c r="A50" s="50" t="s">
        <v>33</v>
      </c>
      <c r="B50" s="54"/>
      <c r="C50" s="55"/>
      <c r="D50" s="56">
        <f>SUM(D51:D57)</f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>
      <c r="A51" s="36"/>
      <c r="B51" s="37"/>
      <c r="C51" s="53"/>
      <c r="D51" s="39">
        <f t="shared" ref="D51:D57" si="9">B51*C51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5" customHeight="1">
      <c r="A52" s="36"/>
      <c r="B52" s="37"/>
      <c r="C52" s="53"/>
      <c r="D52" s="39">
        <f t="shared" si="9"/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5" customHeight="1">
      <c r="A53" s="36"/>
      <c r="B53" s="37"/>
      <c r="C53" s="53"/>
      <c r="D53" s="39">
        <f t="shared" si="9"/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.5" customHeight="1">
      <c r="A54" s="36"/>
      <c r="B54" s="37"/>
      <c r="C54" s="53"/>
      <c r="D54" s="39">
        <f t="shared" si="9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.5" customHeight="1">
      <c r="A55" s="36"/>
      <c r="B55" s="37"/>
      <c r="C55" s="53"/>
      <c r="D55" s="39">
        <f t="shared" si="9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.5" customHeight="1">
      <c r="A56" s="36"/>
      <c r="B56" s="37"/>
      <c r="C56" s="53"/>
      <c r="D56" s="39">
        <f t="shared" si="9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.5" customHeight="1">
      <c r="A57" s="36"/>
      <c r="B57" s="37"/>
      <c r="C57" s="53"/>
      <c r="D57" s="39">
        <f t="shared" si="9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.5" customHeight="1">
      <c r="A58" s="50" t="s">
        <v>34</v>
      </c>
      <c r="B58" s="57"/>
      <c r="C58" s="57"/>
      <c r="D58" s="58">
        <f>D59</f>
        <v>75300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>
      <c r="A59" s="36" t="s">
        <v>118</v>
      </c>
      <c r="B59" s="37">
        <v>30</v>
      </c>
      <c r="C59" s="59">
        <f>251*10</f>
        <v>2510</v>
      </c>
      <c r="D59" s="39">
        <f>B59*C59</f>
        <v>75300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.5" customHeight="1">
      <c r="A60" s="50" t="s">
        <v>35</v>
      </c>
      <c r="B60" s="57"/>
      <c r="C60" s="57"/>
      <c r="D60" s="57">
        <f>SUM(D61:D62)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>
      <c r="A61" s="9"/>
      <c r="B61" s="37"/>
      <c r="C61" s="37"/>
      <c r="D61" s="39">
        <f t="shared" ref="D61:D62" si="10">B61*C61</f>
        <v>0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>
      <c r="A62" s="9"/>
      <c r="B62" s="37"/>
      <c r="C62" s="37"/>
      <c r="D62" s="39">
        <f t="shared" si="10"/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>
      <c r="A63" s="50" t="s">
        <v>36</v>
      </c>
      <c r="B63" s="57"/>
      <c r="C63" s="57"/>
      <c r="D63" s="57">
        <f>SUM(D64:D65)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>
      <c r="A64" s="60"/>
      <c r="B64" s="37"/>
      <c r="C64" s="37"/>
      <c r="D64" s="39">
        <f t="shared" ref="D64:D65" si="11">B64*C64</f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>
      <c r="A65" s="60"/>
      <c r="B65" s="37"/>
      <c r="C65" s="37"/>
      <c r="D65" s="39">
        <f t="shared" si="11"/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61" t="s">
        <v>37</v>
      </c>
      <c r="B66" s="62"/>
      <c r="C66" s="63"/>
      <c r="D66" s="64">
        <f>D42+D50+D58+D60+D63</f>
        <v>80800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>
      <c r="A67" s="65"/>
      <c r="B67" s="66"/>
      <c r="C67" s="66"/>
      <c r="D67" s="6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21.75" customHeight="1">
      <c r="A68" s="15" t="s">
        <v>38</v>
      </c>
      <c r="B68" s="67"/>
      <c r="C68" s="6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3.5" customHeight="1">
      <c r="A69" s="69" t="s">
        <v>27</v>
      </c>
      <c r="B69" s="19" t="s">
        <v>39</v>
      </c>
      <c r="C69" s="19" t="s">
        <v>40</v>
      </c>
      <c r="D69" s="70" t="s">
        <v>14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>
      <c r="A70" s="71" t="s">
        <v>41</v>
      </c>
      <c r="B70" s="72"/>
      <c r="C70" s="73"/>
      <c r="D70" s="58">
        <f>D71+D75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.5" customHeight="1">
      <c r="A71" s="74" t="s">
        <v>42</v>
      </c>
      <c r="B71" s="75"/>
      <c r="C71" s="76"/>
      <c r="D71" s="77">
        <f>SUM(D72:D74)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.5" customHeight="1">
      <c r="A72" s="36" t="s">
        <v>43</v>
      </c>
      <c r="B72" s="78"/>
      <c r="C72" s="79"/>
      <c r="D72" s="39">
        <f t="shared" ref="D72:D74" si="12">B72*C72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.5" customHeight="1">
      <c r="A73" s="36"/>
      <c r="B73" s="37"/>
      <c r="C73" s="79"/>
      <c r="D73" s="39">
        <f t="shared" si="12"/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.5" customHeight="1">
      <c r="A74" s="36"/>
      <c r="B74" s="37"/>
      <c r="C74" s="79"/>
      <c r="D74" s="39">
        <f t="shared" si="12"/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.5" customHeight="1">
      <c r="A75" s="74" t="s">
        <v>44</v>
      </c>
      <c r="B75" s="75"/>
      <c r="C75" s="76"/>
      <c r="D75" s="77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.5" customHeight="1">
      <c r="A76" s="36" t="s">
        <v>45</v>
      </c>
      <c r="B76" s="75"/>
      <c r="C76" s="76"/>
      <c r="D76" s="3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.5" customHeight="1">
      <c r="A77" s="71" t="s">
        <v>46</v>
      </c>
      <c r="B77" s="81"/>
      <c r="C77" s="82"/>
      <c r="D77" s="58">
        <f t="shared" ref="D77:D78" si="13">B77*C77</f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>
      <c r="A78" s="71" t="s">
        <v>47</v>
      </c>
      <c r="B78" s="81"/>
      <c r="C78" s="82"/>
      <c r="D78" s="58">
        <f t="shared" si="13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>
      <c r="A79" s="71" t="s">
        <v>48</v>
      </c>
      <c r="B79" s="81"/>
      <c r="C79" s="82"/>
      <c r="D79" s="58"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61" t="s">
        <v>25</v>
      </c>
      <c r="B80" s="62"/>
      <c r="C80" s="83"/>
      <c r="D80" s="84">
        <f>D70+D77+D78+D79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.5" customHeight="1">
      <c r="A81" s="85"/>
      <c r="B81" s="86"/>
      <c r="C81" s="87"/>
      <c r="D81" s="4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.5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>
      <c r="A83" s="88" t="s">
        <v>49</v>
      </c>
      <c r="B83" s="89"/>
      <c r="C83" s="90"/>
      <c r="D83" s="89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5" customHeight="1">
      <c r="A84" s="92" t="s">
        <v>50</v>
      </c>
      <c r="B84" s="93"/>
      <c r="C84" s="93"/>
      <c r="D84" s="93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>
      <c r="A85" s="94" t="s">
        <v>51</v>
      </c>
      <c r="B85" s="19" t="s">
        <v>12</v>
      </c>
      <c r="C85" s="19" t="s">
        <v>52</v>
      </c>
      <c r="D85" s="70" t="s">
        <v>14</v>
      </c>
      <c r="E85" s="9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.5" customHeight="1">
      <c r="A86" s="50" t="s">
        <v>53</v>
      </c>
      <c r="B86" s="57">
        <f>SUM(B87:B97)</f>
        <v>37220</v>
      </c>
      <c r="C86" s="96"/>
      <c r="D86" s="58">
        <f>SUM(D87:D97)</f>
        <v>446640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>
      <c r="A87" s="36" t="s">
        <v>54</v>
      </c>
      <c r="B87" s="37">
        <f>MAX(5087*1.5,4723)</f>
        <v>7630.5</v>
      </c>
      <c r="C87" s="97">
        <f t="shared" ref="C87:C97" si="14">$B$7</f>
        <v>12</v>
      </c>
      <c r="D87" s="39">
        <f t="shared" ref="D87:D97" si="15">B87*C87</f>
        <v>91566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.5" customHeight="1">
      <c r="A88" s="36" t="s">
        <v>55</v>
      </c>
      <c r="B88" s="37">
        <f>MAX(3048*1.5,4723)</f>
        <v>4723</v>
      </c>
      <c r="C88" s="97">
        <f t="shared" si="14"/>
        <v>12</v>
      </c>
      <c r="D88" s="39">
        <f t="shared" si="15"/>
        <v>56676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.5" customHeight="1">
      <c r="A89" s="36" t="s">
        <v>128</v>
      </c>
      <c r="B89" s="37">
        <f>MAX(4578*1.5,4723)</f>
        <v>6867</v>
      </c>
      <c r="C89" s="97">
        <f t="shared" si="14"/>
        <v>12</v>
      </c>
      <c r="D89" s="39">
        <f t="shared" si="15"/>
        <v>82404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.5" customHeight="1">
      <c r="A90" s="36" t="s">
        <v>56</v>
      </c>
      <c r="B90" s="37">
        <f>MAX(3826*1.5,4723)</f>
        <v>5739</v>
      </c>
      <c r="C90" s="97">
        <f t="shared" si="14"/>
        <v>12</v>
      </c>
      <c r="D90" s="39">
        <f t="shared" si="15"/>
        <v>68868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.5" customHeight="1">
      <c r="A91" s="36" t="s">
        <v>57</v>
      </c>
      <c r="B91" s="37">
        <f>MAX(3237*1.5,4723)</f>
        <v>4855.5</v>
      </c>
      <c r="C91" s="97">
        <f t="shared" si="14"/>
        <v>12</v>
      </c>
      <c r="D91" s="39">
        <f t="shared" si="15"/>
        <v>58266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.5" customHeight="1">
      <c r="A92" s="36" t="s">
        <v>129</v>
      </c>
      <c r="B92" s="37">
        <f>MAX(3636*1.5,4723)</f>
        <v>5454</v>
      </c>
      <c r="C92" s="97">
        <f t="shared" si="14"/>
        <v>12</v>
      </c>
      <c r="D92" s="39">
        <f t="shared" si="15"/>
        <v>65448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.5" customHeight="1">
      <c r="A93" s="36" t="s">
        <v>19</v>
      </c>
      <c r="B93" s="37">
        <f>(5087+3048+4578+3826+3237+3636)/12</f>
        <v>1951</v>
      </c>
      <c r="C93" s="97">
        <f t="shared" si="14"/>
        <v>12</v>
      </c>
      <c r="D93" s="39">
        <f t="shared" si="15"/>
        <v>23412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.5" customHeight="1">
      <c r="A94" s="36"/>
      <c r="B94" s="37"/>
      <c r="C94" s="97">
        <f t="shared" si="14"/>
        <v>12</v>
      </c>
      <c r="D94" s="39">
        <f t="shared" si="15"/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.5" customHeight="1">
      <c r="A95" s="36"/>
      <c r="B95" s="37"/>
      <c r="C95" s="97">
        <f t="shared" si="14"/>
        <v>12</v>
      </c>
      <c r="D95" s="39">
        <f t="shared" si="15"/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.5" customHeight="1">
      <c r="A96" s="36"/>
      <c r="B96" s="37"/>
      <c r="C96" s="97">
        <f t="shared" si="14"/>
        <v>12</v>
      </c>
      <c r="D96" s="39">
        <f t="shared" si="15"/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.5" customHeight="1">
      <c r="A97" s="36"/>
      <c r="B97" s="37"/>
      <c r="C97" s="97">
        <f t="shared" si="14"/>
        <v>12</v>
      </c>
      <c r="D97" s="39">
        <f t="shared" si="15"/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.5" customHeight="1">
      <c r="A98" s="50" t="s">
        <v>58</v>
      </c>
      <c r="B98" s="98">
        <f>SUM(B99:B105)</f>
        <v>11807.5</v>
      </c>
      <c r="C98" s="96"/>
      <c r="D98" s="56">
        <f>SUM(D99:D105)</f>
        <v>141690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>
      <c r="A99" s="36" t="s">
        <v>130</v>
      </c>
      <c r="B99" s="37">
        <f>MAX(2291,4723)</f>
        <v>4723</v>
      </c>
      <c r="C99" s="97">
        <f t="shared" ref="C99:C105" si="16">$B$7</f>
        <v>12</v>
      </c>
      <c r="D99" s="39">
        <f t="shared" ref="D99:D105" si="17">B99*C99</f>
        <v>56676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.5" customHeight="1">
      <c r="A100" s="36" t="s">
        <v>60</v>
      </c>
      <c r="B100" s="37">
        <f>MAX(2102,4723)*1.5</f>
        <v>7084.5</v>
      </c>
      <c r="C100" s="97">
        <f t="shared" si="16"/>
        <v>12</v>
      </c>
      <c r="D100" s="39">
        <f t="shared" si="17"/>
        <v>85014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.5" customHeight="1">
      <c r="A101" s="36"/>
      <c r="B101" s="37"/>
      <c r="C101" s="97">
        <f t="shared" si="16"/>
        <v>12</v>
      </c>
      <c r="D101" s="39">
        <f t="shared" si="17"/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.5" customHeight="1">
      <c r="A102" s="36"/>
      <c r="B102" s="37"/>
      <c r="C102" s="97">
        <f t="shared" si="16"/>
        <v>12</v>
      </c>
      <c r="D102" s="39">
        <f t="shared" si="17"/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.5" customHeight="1">
      <c r="A103" s="36"/>
      <c r="B103" s="37"/>
      <c r="C103" s="97">
        <f t="shared" si="16"/>
        <v>12</v>
      </c>
      <c r="D103" s="39">
        <f t="shared" si="17"/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.5" customHeight="1">
      <c r="A104" s="36"/>
      <c r="B104" s="37"/>
      <c r="C104" s="97">
        <f t="shared" si="16"/>
        <v>12</v>
      </c>
      <c r="D104" s="39">
        <f t="shared" si="17"/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.5" customHeight="1">
      <c r="A105" s="36"/>
      <c r="B105" s="37"/>
      <c r="C105" s="97">
        <f t="shared" si="16"/>
        <v>12</v>
      </c>
      <c r="D105" s="39">
        <f t="shared" si="17"/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.5" customHeight="1">
      <c r="A106" s="24" t="s">
        <v>23</v>
      </c>
      <c r="B106" s="25">
        <f>B86+B98</f>
        <v>49027.5</v>
      </c>
      <c r="C106" s="25"/>
      <c r="D106" s="26">
        <f>D86+D98</f>
        <v>588330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.5" customHeight="1">
      <c r="A107" s="7" t="s">
        <v>131</v>
      </c>
      <c r="B107" s="41">
        <f>B106*0.22</f>
        <v>10786.05</v>
      </c>
      <c r="C107" s="38">
        <f>$B$7</f>
        <v>12</v>
      </c>
      <c r="D107" s="99">
        <f>B107*C107</f>
        <v>129432.59999999999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42" t="s">
        <v>25</v>
      </c>
      <c r="B108" s="43">
        <f>SUM(B106:B107)</f>
        <v>59813.55</v>
      </c>
      <c r="C108" s="43"/>
      <c r="D108" s="84">
        <f>D106+D107</f>
        <v>717762.6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.5" customHeight="1">
      <c r="A109" s="100"/>
      <c r="B109" s="46"/>
      <c r="C109" s="46"/>
      <c r="D109" s="4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1.75" customHeight="1">
      <c r="A110" s="15" t="s">
        <v>62</v>
      </c>
      <c r="B110" s="67"/>
      <c r="C110" s="101"/>
      <c r="D110" s="6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>
      <c r="A111" s="94" t="s">
        <v>27</v>
      </c>
      <c r="B111" s="19" t="s">
        <v>28</v>
      </c>
      <c r="C111" s="19" t="s">
        <v>40</v>
      </c>
      <c r="D111" s="70" t="s">
        <v>14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.5" customHeight="1">
      <c r="A112" s="102" t="s">
        <v>63</v>
      </c>
      <c r="B112" s="103"/>
      <c r="C112" s="103"/>
      <c r="D112" s="104">
        <f>SUM(D113:D116)</f>
        <v>40000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>
      <c r="A113" s="36" t="s">
        <v>0</v>
      </c>
      <c r="B113" s="37">
        <v>40000</v>
      </c>
      <c r="C113" s="53">
        <v>1</v>
      </c>
      <c r="D113" s="39">
        <f t="shared" ref="D113:D116" si="18">B113*C113</f>
        <v>40000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.5" customHeight="1">
      <c r="A114" s="36"/>
      <c r="B114" s="37"/>
      <c r="C114" s="53"/>
      <c r="D114" s="39">
        <f t="shared" si="18"/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.5" customHeight="1">
      <c r="A115" s="36"/>
      <c r="B115" s="37"/>
      <c r="C115" s="53"/>
      <c r="D115" s="39">
        <f t="shared" si="18"/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.5" customHeight="1">
      <c r="A116" s="36"/>
      <c r="B116" s="37"/>
      <c r="C116" s="53"/>
      <c r="D116" s="39">
        <f t="shared" si="18"/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.5" customHeight="1">
      <c r="A117" s="102" t="s">
        <v>64</v>
      </c>
      <c r="B117" s="57"/>
      <c r="C117" s="57"/>
      <c r="D117" s="58">
        <f>SUM(D118:D122)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.5" customHeight="1">
      <c r="A118" s="36"/>
      <c r="B118" s="37"/>
      <c r="C118" s="53"/>
      <c r="D118" s="39">
        <f t="shared" ref="D118:D122" si="19">B118*C118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.5" customHeight="1">
      <c r="A119" s="105"/>
      <c r="B119" s="37"/>
      <c r="C119" s="53"/>
      <c r="D119" s="39">
        <f t="shared" si="19"/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.5" customHeight="1">
      <c r="A120" s="105"/>
      <c r="B120" s="37"/>
      <c r="C120" s="53"/>
      <c r="D120" s="39">
        <f t="shared" si="19"/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.5" customHeight="1">
      <c r="A121" s="105"/>
      <c r="B121" s="37"/>
      <c r="C121" s="53"/>
      <c r="D121" s="39">
        <f t="shared" si="19"/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.5" customHeight="1">
      <c r="A122" s="105"/>
      <c r="B122" s="37"/>
      <c r="C122" s="53"/>
      <c r="D122" s="39">
        <f t="shared" si="19"/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.5" customHeight="1">
      <c r="A123" s="102" t="s">
        <v>65</v>
      </c>
      <c r="B123" s="57"/>
      <c r="C123" s="57"/>
      <c r="D123" s="57">
        <f>SUM(D124:D125)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.5" customHeight="1">
      <c r="A124" s="106"/>
      <c r="B124" s="37"/>
      <c r="C124" s="37"/>
      <c r="D124" s="39">
        <f t="shared" ref="D124:D125" si="20">B124*C124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.5" customHeight="1">
      <c r="A125" s="106"/>
      <c r="B125" s="37"/>
      <c r="C125" s="37"/>
      <c r="D125" s="39">
        <f t="shared" si="20"/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07" t="s">
        <v>25</v>
      </c>
      <c r="B126" s="108"/>
      <c r="C126" s="108"/>
      <c r="D126" s="84">
        <f>D112+D117+D123</f>
        <v>40000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.5" customHeight="1">
      <c r="A127" s="11"/>
      <c r="B127" s="46"/>
      <c r="C127" s="109"/>
      <c r="D127" s="4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1.75" customHeight="1">
      <c r="A128" s="15" t="s">
        <v>66</v>
      </c>
      <c r="B128" s="110"/>
      <c r="C128" s="93"/>
      <c r="D128" s="110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>
      <c r="A129" s="94" t="s">
        <v>27</v>
      </c>
      <c r="B129" s="19" t="s">
        <v>28</v>
      </c>
      <c r="C129" s="19" t="s">
        <v>40</v>
      </c>
      <c r="D129" s="70" t="s">
        <v>14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5" customHeight="1">
      <c r="A130" s="111" t="s">
        <v>67</v>
      </c>
      <c r="B130" s="112"/>
      <c r="C130" s="112"/>
      <c r="D130" s="58"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5" customHeight="1">
      <c r="A131" s="111" t="s">
        <v>68</v>
      </c>
      <c r="B131" s="112"/>
      <c r="C131" s="112"/>
      <c r="D131" s="58">
        <f>SUM(D132:D134)</f>
        <v>23265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5" customHeight="1">
      <c r="A132" s="113" t="s">
        <v>69</v>
      </c>
      <c r="B132" s="114">
        <v>15425</v>
      </c>
      <c r="C132" s="162">
        <v>1</v>
      </c>
      <c r="D132" s="39">
        <f t="shared" ref="D132:D134" si="21">B132*C132</f>
        <v>15425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5" customHeight="1">
      <c r="A133" s="113" t="s">
        <v>70</v>
      </c>
      <c r="B133" s="80">
        <v>910</v>
      </c>
      <c r="C133" s="116">
        <v>1</v>
      </c>
      <c r="D133" s="39">
        <f t="shared" si="21"/>
        <v>910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5" customHeight="1">
      <c r="A134" s="113" t="s">
        <v>71</v>
      </c>
      <c r="B134" s="80">
        <v>6930</v>
      </c>
      <c r="C134" s="116">
        <v>1</v>
      </c>
      <c r="D134" s="39">
        <f t="shared" si="21"/>
        <v>6930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5" customHeight="1">
      <c r="A135" s="113" t="s">
        <v>119</v>
      </c>
      <c r="B135" s="81"/>
      <c r="C135" s="115"/>
      <c r="D135" s="99">
        <f>SUM(D136:D138)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5" customHeight="1">
      <c r="A136" s="113"/>
      <c r="B136" s="80"/>
      <c r="C136" s="116"/>
      <c r="D136" s="39">
        <f t="shared" ref="D136:D138" si="22">B136*C136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5" customHeight="1">
      <c r="A137" s="113"/>
      <c r="B137" s="80"/>
      <c r="C137" s="116"/>
      <c r="D137" s="39">
        <f t="shared" si="22"/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5" customHeight="1">
      <c r="A138" s="113"/>
      <c r="B138" s="80"/>
      <c r="C138" s="116"/>
      <c r="D138" s="39">
        <f t="shared" si="22"/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5" customHeight="1">
      <c r="A139" s="24" t="s">
        <v>72</v>
      </c>
      <c r="B139" s="103"/>
      <c r="C139" s="103"/>
      <c r="D139" s="58">
        <f>SUM(D140:D142)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5" customHeight="1">
      <c r="A140" s="113" t="s">
        <v>73</v>
      </c>
      <c r="B140" s="80"/>
      <c r="C140" s="116"/>
      <c r="D140" s="39">
        <f t="shared" ref="D140:D142" si="23">B140*C140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5" customHeight="1">
      <c r="A141" s="113" t="s">
        <v>74</v>
      </c>
      <c r="B141" s="80"/>
      <c r="C141" s="116"/>
      <c r="D141" s="39">
        <f t="shared" si="23"/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5" customHeight="1">
      <c r="A142" s="113"/>
      <c r="B142" s="80"/>
      <c r="C142" s="116"/>
      <c r="D142" s="39">
        <f t="shared" si="23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5" customHeight="1">
      <c r="A143" s="111" t="s">
        <v>75</v>
      </c>
      <c r="B143" s="117"/>
      <c r="C143" s="118"/>
      <c r="D143" s="58">
        <f>SUM(D144)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5" customHeight="1">
      <c r="A144" s="113" t="s">
        <v>76</v>
      </c>
      <c r="B144" s="119"/>
      <c r="C144" s="120"/>
      <c r="D144" s="39">
        <f>B144*C144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5" customHeight="1">
      <c r="A145" s="24" t="s">
        <v>77</v>
      </c>
      <c r="B145" s="117"/>
      <c r="C145" s="117"/>
      <c r="D145" s="25">
        <f>SUM(D146:D147)</f>
        <v>5420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5" customHeight="1">
      <c r="A146" s="121" t="s">
        <v>78</v>
      </c>
      <c r="B146" s="122">
        <v>5420</v>
      </c>
      <c r="C146" s="123">
        <v>1</v>
      </c>
      <c r="D146" s="39">
        <f t="shared" ref="D146:D147" si="24">B146*C146</f>
        <v>5420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 customHeight="1">
      <c r="A147" s="7"/>
      <c r="B147" s="116"/>
      <c r="C147" s="116"/>
      <c r="D147" s="39">
        <f t="shared" si="24"/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 customHeight="1">
      <c r="A148" s="24" t="s">
        <v>79</v>
      </c>
      <c r="B148" s="25"/>
      <c r="C148" s="124"/>
      <c r="D148" s="58">
        <f>SUM(D149:D152)</f>
        <v>9480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 customHeight="1">
      <c r="A149" s="121" t="s">
        <v>1</v>
      </c>
      <c r="B149" s="122">
        <v>9480</v>
      </c>
      <c r="C149" s="123">
        <v>1</v>
      </c>
      <c r="D149" s="39">
        <f t="shared" ref="D149:D152" si="25">B149*C149</f>
        <v>9480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 customHeight="1">
      <c r="A150" s="113"/>
      <c r="B150" s="119"/>
      <c r="C150" s="120"/>
      <c r="D150" s="39">
        <f t="shared" si="25"/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 customHeight="1">
      <c r="A151" s="113"/>
      <c r="B151" s="119"/>
      <c r="C151" s="120"/>
      <c r="D151" s="39">
        <f t="shared" si="25"/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 customHeight="1">
      <c r="A152" s="113"/>
      <c r="B152" s="119"/>
      <c r="C152" s="120"/>
      <c r="D152" s="39">
        <f t="shared" si="25"/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 customHeight="1">
      <c r="A153" s="24" t="s">
        <v>80</v>
      </c>
      <c r="B153" s="25"/>
      <c r="C153" s="124"/>
      <c r="D153" s="58">
        <f>SUM(D154:D155)</f>
        <v>76800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 customHeight="1">
      <c r="A154" s="121" t="s">
        <v>81</v>
      </c>
      <c r="B154" s="37">
        <v>6400</v>
      </c>
      <c r="C154" s="123">
        <v>12</v>
      </c>
      <c r="D154" s="39">
        <f t="shared" ref="D154:D155" si="26">B154*C154</f>
        <v>76800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 customHeight="1">
      <c r="A155" s="121"/>
      <c r="B155" s="122"/>
      <c r="C155" s="123"/>
      <c r="D155" s="39">
        <f t="shared" si="26"/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 customHeight="1">
      <c r="A156" s="24" t="s">
        <v>82</v>
      </c>
      <c r="B156" s="25"/>
      <c r="C156" s="124"/>
      <c r="D156" s="58">
        <f>SUM(D157)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 customHeight="1">
      <c r="A157" s="121" t="s">
        <v>83</v>
      </c>
      <c r="B157" s="122"/>
      <c r="C157" s="123"/>
      <c r="D157" s="39">
        <f>B157*C157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 customHeight="1">
      <c r="A158" s="24" t="s">
        <v>84</v>
      </c>
      <c r="B158" s="25"/>
      <c r="C158" s="124"/>
      <c r="D158" s="58">
        <f>SUM(D159:D160)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 customHeight="1">
      <c r="A159" s="121" t="s">
        <v>85</v>
      </c>
      <c r="B159" s="122"/>
      <c r="C159" s="123"/>
      <c r="D159" s="39">
        <f t="shared" ref="D159:D160" si="27">B159*C159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 customHeight="1">
      <c r="A160" s="121"/>
      <c r="B160" s="122"/>
      <c r="C160" s="123"/>
      <c r="D160" s="39">
        <f t="shared" si="27"/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 customHeight="1">
      <c r="A161" s="24" t="s">
        <v>48</v>
      </c>
      <c r="B161" s="25"/>
      <c r="C161" s="124"/>
      <c r="D161" s="58">
        <f>SUM(D162:D164)</f>
        <v>41000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 customHeight="1">
      <c r="A162" s="121" t="s">
        <v>2</v>
      </c>
      <c r="B162" s="122">
        <v>41000</v>
      </c>
      <c r="C162" s="123">
        <v>1</v>
      </c>
      <c r="D162" s="39">
        <f t="shared" ref="D162:D164" si="28">B162*C162</f>
        <v>41000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 customHeight="1">
      <c r="A163" s="121"/>
      <c r="B163" s="122"/>
      <c r="C163" s="123"/>
      <c r="D163" s="39">
        <f t="shared" si="28"/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 customHeight="1">
      <c r="A164" s="121"/>
      <c r="B164" s="122"/>
      <c r="C164" s="123"/>
      <c r="D164" s="39">
        <f t="shared" si="28"/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42" t="s">
        <v>25</v>
      </c>
      <c r="B165" s="43"/>
      <c r="C165" s="125"/>
      <c r="D165" s="84">
        <f>D130+D135+D131+D139+D143+D145+D148+D153+D156+D158+D161</f>
        <v>155965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 customHeight="1">
      <c r="A166" s="11"/>
      <c r="B166" s="109"/>
      <c r="C166" s="109"/>
      <c r="D166" s="109"/>
      <c r="E166" s="109"/>
      <c r="F166" s="109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 customHeight="1">
      <c r="A167" s="11"/>
      <c r="B167" s="109"/>
      <c r="C167" s="109"/>
      <c r="D167" s="109"/>
      <c r="E167" s="109"/>
      <c r="F167" s="109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1.75" customHeight="1">
      <c r="A168" s="92" t="s">
        <v>86</v>
      </c>
      <c r="B168" s="17"/>
      <c r="C168" s="17"/>
      <c r="D168" s="17"/>
      <c r="E168" s="126"/>
      <c r="F168" s="93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1.75" customHeight="1">
      <c r="A169" s="92" t="s">
        <v>87</v>
      </c>
      <c r="B169" s="17"/>
      <c r="C169" s="17"/>
      <c r="D169" s="17"/>
      <c r="E169" s="126"/>
      <c r="F169" s="93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27" t="s">
        <v>88</v>
      </c>
      <c r="B170" s="128" t="s">
        <v>89</v>
      </c>
      <c r="C170" s="11"/>
      <c r="D170" s="11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 customHeight="1">
      <c r="A171" s="121" t="s">
        <v>132</v>
      </c>
      <c r="B171" s="129">
        <f>B29*12+B33</f>
        <v>3093.75</v>
      </c>
      <c r="C171" s="11"/>
      <c r="D171" s="11"/>
      <c r="F171" s="109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 customHeight="1">
      <c r="A172" s="121" t="s">
        <v>133</v>
      </c>
      <c r="B172" s="130">
        <f>165874+B171</f>
        <v>168967.75</v>
      </c>
      <c r="C172" s="11"/>
      <c r="D172" s="11"/>
      <c r="F172" s="109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42" t="s">
        <v>92</v>
      </c>
      <c r="B173" s="44">
        <f>B171/B172</f>
        <v>1.8309707029891799E-2</v>
      </c>
      <c r="C173" s="11"/>
      <c r="D173" s="11"/>
      <c r="F173" s="109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 customHeight="1">
      <c r="A174" s="131"/>
      <c r="B174" s="11"/>
      <c r="C174" s="11"/>
      <c r="D174" s="11"/>
      <c r="F174" s="109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1.75" customHeight="1">
      <c r="A175" s="92" t="s">
        <v>93</v>
      </c>
      <c r="B175" s="17"/>
      <c r="C175" s="17"/>
      <c r="D175" s="17"/>
      <c r="E175" s="126"/>
      <c r="F175" s="93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6.5" customHeight="1">
      <c r="A176" s="18" t="s">
        <v>88</v>
      </c>
      <c r="B176" s="19" t="s">
        <v>14</v>
      </c>
      <c r="C176" s="19" t="s">
        <v>94</v>
      </c>
      <c r="D176" s="132" t="s">
        <v>95</v>
      </c>
      <c r="E176" s="133" t="s">
        <v>96</v>
      </c>
      <c r="F176" s="134" t="s">
        <v>96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5" customHeight="1">
      <c r="A177" s="24" t="s">
        <v>97</v>
      </c>
      <c r="B177" s="25"/>
      <c r="C177" s="124"/>
      <c r="D177" s="135"/>
      <c r="E177" s="136"/>
      <c r="F177" s="13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 customHeight="1">
      <c r="A178" s="121" t="s">
        <v>98</v>
      </c>
      <c r="B178" s="138">
        <f>D38</f>
        <v>61629.52</v>
      </c>
      <c r="C178" s="139" t="s">
        <v>99</v>
      </c>
      <c r="D178" s="140">
        <f t="shared" ref="D178:D180" si="29">B178</f>
        <v>61629.52</v>
      </c>
      <c r="E178" s="141">
        <f t="shared" ref="E178:E180" si="30">D178/$B$4/$B$5/$B$6</f>
        <v>6.1383984063745016</v>
      </c>
      <c r="F178" s="142">
        <f t="shared" ref="F178:F180" si="31">E178</f>
        <v>6.1383984063745016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 customHeight="1">
      <c r="A179" s="121" t="s">
        <v>100</v>
      </c>
      <c r="B179" s="138">
        <f>D66</f>
        <v>80800</v>
      </c>
      <c r="C179" s="139" t="s">
        <v>99</v>
      </c>
      <c r="D179" s="140">
        <f t="shared" si="29"/>
        <v>80800</v>
      </c>
      <c r="E179" s="141">
        <f t="shared" si="30"/>
        <v>8.047808764940239</v>
      </c>
      <c r="F179" s="142">
        <f t="shared" si="31"/>
        <v>8.047808764940239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 customHeight="1">
      <c r="A180" s="121" t="s">
        <v>101</v>
      </c>
      <c r="B180" s="138">
        <f>D80</f>
        <v>0</v>
      </c>
      <c r="C180" s="139" t="s">
        <v>99</v>
      </c>
      <c r="D180" s="140">
        <f t="shared" si="29"/>
        <v>0</v>
      </c>
      <c r="E180" s="141">
        <f t="shared" si="30"/>
        <v>0</v>
      </c>
      <c r="F180" s="142">
        <f t="shared" si="31"/>
        <v>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 customHeight="1">
      <c r="A181" s="143" t="s">
        <v>102</v>
      </c>
      <c r="B181" s="144">
        <f>SUM(B178:B180)</f>
        <v>142429.51999999999</v>
      </c>
      <c r="C181" s="144"/>
      <c r="D181" s="145">
        <f t="shared" ref="D181:F181" si="32">SUM(D178:D180)</f>
        <v>142429.51999999999</v>
      </c>
      <c r="E181" s="146">
        <f t="shared" si="32"/>
        <v>14.186207171314742</v>
      </c>
      <c r="F181" s="147">
        <f t="shared" si="32"/>
        <v>14.186207171314742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 customHeight="1">
      <c r="A182" s="24" t="s">
        <v>103</v>
      </c>
      <c r="B182" s="25"/>
      <c r="C182" s="124"/>
      <c r="D182" s="135"/>
      <c r="E182" s="136"/>
      <c r="F182" s="148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 customHeight="1">
      <c r="A183" s="121" t="s">
        <v>98</v>
      </c>
      <c r="B183" s="149">
        <f>D108</f>
        <v>717762.6</v>
      </c>
      <c r="C183" s="149">
        <f t="shared" ref="C183:C185" si="33">$B$173</f>
        <v>1.8309707029891799E-2</v>
      </c>
      <c r="D183" s="140">
        <f t="shared" ref="D183:D185" si="34">B183*C183</f>
        <v>13142.022923013415</v>
      </c>
      <c r="E183" s="141">
        <f t="shared" ref="E183:E185" si="35">D183/$B$4/$B$5/$B$6</f>
        <v>1.3089664265949617</v>
      </c>
      <c r="F183" s="142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 customHeight="1">
      <c r="A184" s="121" t="s">
        <v>100</v>
      </c>
      <c r="B184" s="149">
        <f>D126</f>
        <v>40000</v>
      </c>
      <c r="C184" s="149">
        <f t="shared" si="33"/>
        <v>1.8309707029891799E-2</v>
      </c>
      <c r="D184" s="140">
        <f t="shared" si="34"/>
        <v>732.38828119567199</v>
      </c>
      <c r="E184" s="141">
        <f t="shared" si="35"/>
        <v>7.2947039959728288E-2</v>
      </c>
      <c r="F184" s="142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 customHeight="1">
      <c r="A185" s="121" t="s">
        <v>104</v>
      </c>
      <c r="B185" s="149">
        <f>D165</f>
        <v>155965</v>
      </c>
      <c r="C185" s="149">
        <f t="shared" si="33"/>
        <v>1.8309707029891799E-2</v>
      </c>
      <c r="D185" s="140">
        <f t="shared" si="34"/>
        <v>2855.6734569170744</v>
      </c>
      <c r="E185" s="141">
        <f t="shared" si="35"/>
        <v>0.28442962718297554</v>
      </c>
      <c r="F185" s="142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 customHeight="1">
      <c r="A186" s="143" t="s">
        <v>105</v>
      </c>
      <c r="B186" s="144">
        <f>SUM(B183:B185)</f>
        <v>913727.6</v>
      </c>
      <c r="C186" s="144"/>
      <c r="D186" s="145">
        <f t="shared" ref="D186:E186" si="36">SUM(D183:D185)</f>
        <v>16730.084661126162</v>
      </c>
      <c r="E186" s="146">
        <f t="shared" si="36"/>
        <v>1.6663430937376655</v>
      </c>
      <c r="F186" s="147">
        <f>F178*15%</f>
        <v>0.92075976095617518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50" t="s">
        <v>106</v>
      </c>
      <c r="B187" s="151"/>
      <c r="C187" s="151"/>
      <c r="D187" s="152"/>
      <c r="E187" s="153">
        <f t="shared" ref="E187:F187" si="37">E181+E186</f>
        <v>15.852550265052407</v>
      </c>
      <c r="F187" s="154">
        <f t="shared" si="37"/>
        <v>15.106966932270916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 customHeight="1">
      <c r="A188" s="131"/>
      <c r="B188" s="11"/>
      <c r="C188" s="11"/>
      <c r="D188" s="11"/>
      <c r="F188" s="109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 customHeight="1">
      <c r="A189" s="155"/>
      <c r="B189" s="156"/>
      <c r="C189" s="109"/>
      <c r="D189" s="11"/>
      <c r="E189" s="157"/>
      <c r="F189" s="157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 customHeight="1">
      <c r="A190" s="92" t="s">
        <v>134</v>
      </c>
      <c r="B190" s="92"/>
      <c r="C190" s="92"/>
      <c r="D190" s="92"/>
      <c r="E190" s="92"/>
      <c r="F190" s="109"/>
      <c r="G190" s="109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 customHeight="1">
      <c r="A191" s="18" t="s">
        <v>108</v>
      </c>
      <c r="B191" s="19" t="s">
        <v>109</v>
      </c>
      <c r="C191" s="19" t="s">
        <v>110</v>
      </c>
      <c r="D191" s="19" t="s">
        <v>111</v>
      </c>
      <c r="E191" s="20" t="s">
        <v>14</v>
      </c>
      <c r="F191" s="109"/>
      <c r="G191" s="109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 customHeight="1">
      <c r="A192" s="7" t="s">
        <v>112</v>
      </c>
      <c r="B192" s="41">
        <f>MIN(E187,F187)</f>
        <v>15.106966932270916</v>
      </c>
      <c r="C192" s="158">
        <v>4</v>
      </c>
      <c r="D192" s="158">
        <v>1</v>
      </c>
      <c r="E192" s="159">
        <f>B192*C192*D192</f>
        <v>60.427867729083665</v>
      </c>
      <c r="F192" s="109"/>
      <c r="G192" s="109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 customHeight="1">
      <c r="A193" s="100"/>
      <c r="B193" s="109"/>
      <c r="C193" s="109"/>
      <c r="D193" s="109"/>
      <c r="E193" s="109"/>
      <c r="F193" s="109"/>
      <c r="G193" s="109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 customHeight="1">
      <c r="A194" s="11"/>
      <c r="B194" s="11"/>
      <c r="C194" s="11"/>
      <c r="D194" s="11"/>
      <c r="E194" s="40"/>
      <c r="F194" s="160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 customHeight="1">
      <c r="A195" s="11"/>
      <c r="B195" s="11"/>
      <c r="C195" s="11"/>
      <c r="D195" s="11"/>
      <c r="E195" s="109"/>
      <c r="F195" s="160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 customHeight="1">
      <c r="A196" s="100"/>
      <c r="B196" s="109"/>
      <c r="C196" s="109"/>
      <c r="D196" s="109"/>
      <c r="E196" s="109"/>
      <c r="F196" s="109"/>
      <c r="G196" s="109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 customHeight="1">
      <c r="A197" s="100"/>
      <c r="B197" s="109"/>
      <c r="C197" s="109"/>
      <c r="D197" s="109"/>
      <c r="E197" s="109"/>
      <c r="F197" s="109"/>
      <c r="G197" s="109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 customHeight="1">
      <c r="A198" s="100"/>
      <c r="B198" s="109"/>
      <c r="C198" s="109"/>
      <c r="D198" s="109"/>
      <c r="E198" s="109"/>
      <c r="F198" s="109"/>
      <c r="G198" s="109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 customHeight="1">
      <c r="A199" s="100"/>
      <c r="B199" s="109"/>
      <c r="C199" s="109"/>
      <c r="D199" s="109"/>
      <c r="E199" s="109"/>
      <c r="F199" s="109"/>
      <c r="G199" s="109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 customHeight="1">
      <c r="A200" s="100"/>
      <c r="B200" s="109"/>
      <c r="C200" s="109"/>
      <c r="D200" s="109"/>
      <c r="E200" s="109"/>
      <c r="F200" s="109"/>
      <c r="G200" s="109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 customHeight="1">
      <c r="A201" s="100"/>
      <c r="B201" s="109"/>
      <c r="C201" s="109"/>
      <c r="D201" s="109"/>
      <c r="E201" s="109"/>
      <c r="F201" s="109"/>
      <c r="G201" s="109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 customHeight="1">
      <c r="A202" s="100"/>
      <c r="B202" s="109"/>
      <c r="C202" s="109"/>
      <c r="D202" s="109"/>
      <c r="E202" s="109"/>
      <c r="F202" s="109"/>
      <c r="G202" s="109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 customHeight="1">
      <c r="A203" s="100"/>
      <c r="B203" s="109"/>
      <c r="C203" s="109"/>
      <c r="D203" s="109"/>
      <c r="E203" s="109"/>
      <c r="F203" s="109"/>
      <c r="G203" s="109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 customHeight="1">
      <c r="A204" s="100"/>
      <c r="B204" s="109"/>
      <c r="C204" s="109"/>
      <c r="D204" s="109"/>
      <c r="E204" s="109"/>
      <c r="F204" s="109"/>
      <c r="G204" s="109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 customHeight="1">
      <c r="A205" s="100"/>
      <c r="B205" s="109"/>
      <c r="C205" s="109"/>
      <c r="D205" s="109"/>
      <c r="E205" s="109"/>
      <c r="F205" s="109"/>
      <c r="G205" s="109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 customHeight="1">
      <c r="A206" s="100"/>
      <c r="B206" s="109"/>
      <c r="C206" s="109"/>
      <c r="D206" s="109"/>
      <c r="E206" s="109"/>
      <c r="F206" s="109"/>
      <c r="G206" s="109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 customHeight="1">
      <c r="A207" s="100"/>
      <c r="B207" s="109"/>
      <c r="C207" s="109"/>
      <c r="D207" s="109"/>
      <c r="E207" s="109"/>
      <c r="F207" s="109"/>
      <c r="G207" s="109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 customHeight="1">
      <c r="A208" s="100"/>
      <c r="B208" s="109"/>
      <c r="C208" s="109"/>
      <c r="D208" s="109"/>
      <c r="E208" s="109"/>
      <c r="F208" s="109"/>
      <c r="G208" s="109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 customHeight="1">
      <c r="A209" s="100"/>
      <c r="B209" s="109"/>
      <c r="C209" s="109"/>
      <c r="D209" s="109"/>
      <c r="E209" s="109"/>
      <c r="F209" s="109"/>
      <c r="G209" s="109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 customHeight="1">
      <c r="A210" s="100"/>
      <c r="B210" s="109"/>
      <c r="C210" s="109"/>
      <c r="D210" s="109"/>
      <c r="E210" s="109"/>
      <c r="F210" s="109"/>
      <c r="G210" s="109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 customHeight="1">
      <c r="A211" s="100"/>
      <c r="B211" s="109"/>
      <c r="C211" s="109"/>
      <c r="D211" s="109"/>
      <c r="E211" s="109"/>
      <c r="F211" s="109"/>
      <c r="G211" s="109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 customHeight="1">
      <c r="A212" s="100"/>
      <c r="B212" s="109"/>
      <c r="C212" s="109"/>
      <c r="D212" s="109"/>
      <c r="E212" s="109"/>
      <c r="F212" s="109"/>
      <c r="G212" s="109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 customHeight="1">
      <c r="A213" s="100"/>
      <c r="B213" s="109"/>
      <c r="C213" s="109"/>
      <c r="D213" s="109"/>
      <c r="E213" s="109"/>
      <c r="F213" s="109"/>
      <c r="G213" s="109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 customHeight="1">
      <c r="A214" s="100"/>
      <c r="B214" s="109"/>
      <c r="C214" s="109"/>
      <c r="D214" s="109"/>
      <c r="E214" s="109"/>
      <c r="F214" s="109"/>
      <c r="G214" s="109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 customHeight="1">
      <c r="A215" s="100"/>
      <c r="B215" s="109"/>
      <c r="C215" s="109"/>
      <c r="D215" s="109"/>
      <c r="E215" s="109"/>
      <c r="F215" s="109"/>
      <c r="G215" s="109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 customHeight="1">
      <c r="A216" s="100"/>
      <c r="B216" s="109"/>
      <c r="C216" s="109"/>
      <c r="D216" s="109"/>
      <c r="E216" s="109"/>
      <c r="F216" s="109"/>
      <c r="G216" s="109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 customHeight="1">
      <c r="A217" s="100"/>
      <c r="B217" s="109"/>
      <c r="C217" s="109"/>
      <c r="D217" s="109"/>
      <c r="E217" s="109"/>
      <c r="F217" s="109"/>
      <c r="G217" s="109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 customHeight="1">
      <c r="A218" s="100"/>
      <c r="B218" s="109"/>
      <c r="C218" s="109"/>
      <c r="D218" s="109"/>
      <c r="E218" s="109"/>
      <c r="F218" s="109"/>
      <c r="G218" s="109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 customHeight="1">
      <c r="A219" s="100"/>
      <c r="B219" s="109"/>
      <c r="C219" s="109"/>
      <c r="D219" s="109"/>
      <c r="E219" s="109"/>
      <c r="F219" s="109"/>
      <c r="G219" s="109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 customHeight="1">
      <c r="A220" s="100"/>
      <c r="B220" s="109"/>
      <c r="C220" s="109"/>
      <c r="D220" s="109"/>
      <c r="E220" s="109"/>
      <c r="F220" s="109"/>
      <c r="G220" s="109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 customHeight="1">
      <c r="A221" s="100"/>
      <c r="B221" s="109"/>
      <c r="C221" s="109"/>
      <c r="D221" s="109"/>
      <c r="E221" s="109"/>
      <c r="F221" s="109"/>
      <c r="G221" s="109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 customHeight="1">
      <c r="A222" s="100"/>
      <c r="B222" s="109"/>
      <c r="C222" s="109"/>
      <c r="D222" s="109"/>
      <c r="E222" s="109"/>
      <c r="F222" s="109"/>
      <c r="G222" s="109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 customHeight="1">
      <c r="A223" s="100"/>
      <c r="B223" s="109"/>
      <c r="C223" s="109"/>
      <c r="D223" s="109"/>
      <c r="E223" s="109"/>
      <c r="F223" s="109"/>
      <c r="G223" s="109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 customHeight="1">
      <c r="A224" s="100"/>
      <c r="B224" s="109"/>
      <c r="C224" s="109"/>
      <c r="D224" s="109"/>
      <c r="E224" s="109"/>
      <c r="F224" s="109"/>
      <c r="G224" s="109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 customHeight="1">
      <c r="A225" s="100"/>
      <c r="B225" s="109"/>
      <c r="C225" s="109"/>
      <c r="D225" s="109"/>
      <c r="E225" s="109"/>
      <c r="F225" s="109"/>
      <c r="G225" s="109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 customHeight="1">
      <c r="A226" s="100"/>
      <c r="B226" s="109"/>
      <c r="C226" s="109"/>
      <c r="D226" s="109"/>
      <c r="E226" s="109"/>
      <c r="F226" s="109"/>
      <c r="G226" s="109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 customHeight="1">
      <c r="A227" s="100"/>
      <c r="B227" s="109"/>
      <c r="C227" s="109"/>
      <c r="D227" s="109"/>
      <c r="E227" s="109"/>
      <c r="F227" s="109"/>
      <c r="G227" s="109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 customHeight="1">
      <c r="A228" s="100"/>
      <c r="B228" s="109"/>
      <c r="C228" s="109"/>
      <c r="D228" s="109"/>
      <c r="E228" s="109"/>
      <c r="F228" s="109"/>
      <c r="G228" s="109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 customHeight="1">
      <c r="A229" s="100"/>
      <c r="B229" s="109"/>
      <c r="C229" s="109"/>
      <c r="D229" s="109"/>
      <c r="E229" s="109"/>
      <c r="F229" s="109"/>
      <c r="G229" s="109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 customHeight="1">
      <c r="A230" s="100"/>
      <c r="B230" s="109"/>
      <c r="C230" s="109"/>
      <c r="D230" s="109"/>
      <c r="E230" s="109"/>
      <c r="F230" s="109"/>
      <c r="G230" s="109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 customHeight="1">
      <c r="A231" s="100"/>
      <c r="B231" s="109"/>
      <c r="C231" s="109"/>
      <c r="D231" s="109"/>
      <c r="E231" s="109"/>
      <c r="F231" s="109"/>
      <c r="G231" s="109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 customHeight="1">
      <c r="A232" s="100"/>
      <c r="B232" s="109"/>
      <c r="C232" s="109"/>
      <c r="D232" s="109"/>
      <c r="E232" s="109"/>
      <c r="F232" s="109"/>
      <c r="G232" s="109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 customHeight="1">
      <c r="A233" s="100"/>
      <c r="B233" s="109"/>
      <c r="C233" s="109"/>
      <c r="D233" s="109"/>
      <c r="E233" s="109"/>
      <c r="F233" s="109"/>
      <c r="G233" s="109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 customHeight="1">
      <c r="A234" s="100"/>
      <c r="B234" s="109"/>
      <c r="C234" s="109"/>
      <c r="D234" s="109"/>
      <c r="E234" s="109"/>
      <c r="F234" s="109"/>
      <c r="G234" s="109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 customHeight="1">
      <c r="A235" s="100"/>
      <c r="B235" s="109"/>
      <c r="C235" s="109"/>
      <c r="D235" s="109"/>
      <c r="E235" s="109"/>
      <c r="F235" s="109"/>
      <c r="G235" s="109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 customHeight="1">
      <c r="A236" s="100"/>
      <c r="B236" s="109"/>
      <c r="C236" s="109"/>
      <c r="D236" s="109"/>
      <c r="E236" s="109"/>
      <c r="F236" s="109"/>
      <c r="G236" s="109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 customHeight="1">
      <c r="A237" s="100"/>
      <c r="B237" s="109"/>
      <c r="C237" s="109"/>
      <c r="D237" s="109"/>
      <c r="E237" s="109"/>
      <c r="F237" s="109"/>
      <c r="G237" s="109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 customHeight="1">
      <c r="A238" s="100"/>
      <c r="B238" s="109"/>
      <c r="C238" s="109"/>
      <c r="D238" s="109"/>
      <c r="E238" s="109"/>
      <c r="F238" s="109"/>
      <c r="G238" s="109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 customHeight="1">
      <c r="A239" s="100"/>
      <c r="B239" s="109"/>
      <c r="C239" s="109"/>
      <c r="D239" s="109"/>
      <c r="E239" s="109"/>
      <c r="F239" s="109"/>
      <c r="G239" s="109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 customHeight="1">
      <c r="A240" s="100"/>
      <c r="B240" s="109"/>
      <c r="C240" s="109"/>
      <c r="D240" s="109"/>
      <c r="E240" s="109"/>
      <c r="F240" s="109"/>
      <c r="G240" s="109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 customHeight="1">
      <c r="A241" s="100"/>
      <c r="B241" s="109"/>
      <c r="C241" s="109"/>
      <c r="D241" s="109"/>
      <c r="E241" s="109"/>
      <c r="F241" s="109"/>
      <c r="G241" s="109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 customHeight="1">
      <c r="A242" s="100"/>
      <c r="B242" s="109"/>
      <c r="C242" s="109"/>
      <c r="D242" s="109"/>
      <c r="E242" s="109"/>
      <c r="F242" s="109"/>
      <c r="G242" s="109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 customHeight="1">
      <c r="A243" s="100"/>
      <c r="B243" s="109"/>
      <c r="C243" s="109"/>
      <c r="D243" s="109"/>
      <c r="E243" s="109"/>
      <c r="F243" s="109"/>
      <c r="G243" s="109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 customHeight="1">
      <c r="A244" s="100"/>
      <c r="B244" s="109"/>
      <c r="C244" s="109"/>
      <c r="D244" s="109"/>
      <c r="E244" s="109"/>
      <c r="F244" s="109"/>
      <c r="G244" s="109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 customHeight="1">
      <c r="A245" s="100"/>
      <c r="B245" s="109"/>
      <c r="C245" s="109"/>
      <c r="D245" s="109"/>
      <c r="E245" s="109"/>
      <c r="F245" s="109"/>
      <c r="G245" s="109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 customHeight="1">
      <c r="A246" s="100"/>
      <c r="B246" s="109"/>
      <c r="C246" s="109"/>
      <c r="D246" s="109"/>
      <c r="E246" s="109"/>
      <c r="F246" s="109"/>
      <c r="G246" s="109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 customHeight="1">
      <c r="A247" s="100"/>
      <c r="B247" s="109"/>
      <c r="C247" s="109"/>
      <c r="D247" s="109"/>
      <c r="E247" s="109"/>
      <c r="F247" s="109"/>
      <c r="G247" s="109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 customHeight="1">
      <c r="A248" s="100"/>
      <c r="B248" s="109"/>
      <c r="C248" s="109"/>
      <c r="D248" s="109"/>
      <c r="E248" s="109"/>
      <c r="F248" s="109"/>
      <c r="G248" s="109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hyperlinks>
    <hyperlink ref="E176" location="Google_Sheet_Link_1684394891" display="Вартість на людино-годину, грн. [2]"/>
    <hyperlink ref="F176" location="Google_Sheet_Link_1796155433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Догляд вдома</vt:lpstr>
      <vt:lpstr>надання притулку</vt:lpstr>
      <vt:lpstr>кризове втручання</vt:lpstr>
      <vt:lpstr>натуральна перукар</vt:lpstr>
      <vt:lpstr>натуральна допомога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Марина Кляпка</cp:lastModifiedBy>
  <cp:lastPrinted>2025-10-15T06:17:56Z</cp:lastPrinted>
  <dcterms:created xsi:type="dcterms:W3CDTF">2012-10-23T12:10:35Z</dcterms:created>
  <dcterms:modified xsi:type="dcterms:W3CDTF">2025-10-23T12:49:29Z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